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codeName="ThisWorkbook" defaultThemeVersion="124226"/>
  <mc:AlternateContent xmlns:mc="http://schemas.openxmlformats.org/markup-compatibility/2006">
    <mc:Choice Requires="x15">
      <x15ac:absPath xmlns:x15ac="http://schemas.microsoft.com/office/spreadsheetml/2010/11/ac" url="https://stocktonusdnet-my.sharepoint.com/personal/tashworth_stocktonusd_net/Documents/2023-2024 LCAP Development/"/>
    </mc:Choice>
  </mc:AlternateContent>
  <xr:revisionPtr revIDLastSave="0" documentId="8_{7394CE7B-CD16-4DF7-8002-E1C19C5A8B26}" xr6:coauthVersionLast="36" xr6:coauthVersionMax="36" xr10:uidLastSave="{00000000-0000-0000-0000-000000000000}"/>
  <bookViews>
    <workbookView xWindow="-110" yWindow="-110" windowWidth="34510" windowHeight="11180" tabRatio="879" activeTab="1" xr2:uid="{00000000-000D-0000-FFFF-FFFF00000000}"/>
  </bookViews>
  <sheets>
    <sheet name="Project Point of Contacts" sheetId="63" r:id="rId1"/>
    <sheet name="LCAP Develop Session 2 Summary" sheetId="65" r:id="rId2"/>
  </sheets>
  <definedNames>
    <definedName name="_xlnm._FilterDatabase" localSheetId="1" hidden="1">'LCAP Develop Session 2 Summary'!$B$3:$AT$182</definedName>
    <definedName name="_xlnm._FilterDatabase" localSheetId="0" hidden="1">'Project Point of Contacts'!$A$4:$C$174</definedName>
    <definedName name="_xlnm.Print_Area" localSheetId="1">'LCAP Develop Session 2 Summary'!$B$6:$AO$174</definedName>
    <definedName name="_xlnm.Print_Area" localSheetId="0">'Project Point of Contacts'!$A$2:$F$183</definedName>
    <definedName name="_xlnm.Print_Titles" localSheetId="1">'LCAP Develop Session 2 Summary'!$B:$E,'LCAP Develop Session 2 Summary'!$3:$6</definedName>
    <definedName name="_xlnm.Print_Titles" localSheetId="0">'Project Point of Contacts'!$A:$C,'Project Point of Contacts'!$4:$7</definedName>
  </definedNames>
  <calcPr calcId="191028"/>
</workbook>
</file>

<file path=xl/calcChain.xml><?xml version="1.0" encoding="utf-8"?>
<calcChain xmlns="http://schemas.openxmlformats.org/spreadsheetml/2006/main">
  <c r="AF165" i="65" l="1"/>
  <c r="AE165" i="65"/>
  <c r="AD165" i="65"/>
  <c r="AC165" i="65"/>
  <c r="AB165" i="65"/>
  <c r="AA165" i="65"/>
  <c r="Z165" i="65"/>
  <c r="Y165" i="65"/>
  <c r="X165" i="65"/>
  <c r="W165" i="65"/>
  <c r="V165" i="65"/>
  <c r="U165" i="65"/>
  <c r="T165" i="65"/>
  <c r="R165" i="65"/>
  <c r="Q165" i="65"/>
  <c r="Q5" i="65" s="1"/>
  <c r="P165" i="65"/>
  <c r="P5" i="65" s="1"/>
  <c r="O165" i="65"/>
  <c r="O5" i="65" s="1"/>
  <c r="N165" i="65"/>
  <c r="M165" i="65"/>
  <c r="L165" i="65"/>
  <c r="K165" i="65"/>
  <c r="J165" i="65"/>
  <c r="J5" i="65" s="1"/>
  <c r="H165" i="65"/>
  <c r="I165" i="65"/>
  <c r="I5" i="65" s="1"/>
  <c r="R5" i="65"/>
  <c r="N5" i="65"/>
  <c r="M5" i="65"/>
  <c r="L5" i="65"/>
  <c r="K5" i="65"/>
  <c r="AO10" i="65"/>
  <c r="AO65" i="65"/>
  <c r="AP192" i="65" l="1"/>
  <c r="AM192" i="65"/>
  <c r="AN192" i="65" s="1"/>
  <c r="AB192" i="65"/>
  <c r="Z192" i="65"/>
  <c r="AA192" i="65" s="1"/>
  <c r="O192" i="65"/>
  <c r="H192" i="65"/>
  <c r="AP191" i="65"/>
  <c r="AM191" i="65"/>
  <c r="AO191" i="65" s="1"/>
  <c r="AB191" i="65"/>
  <c r="Z191" i="65"/>
  <c r="AA191" i="65" s="1"/>
  <c r="O191" i="65"/>
  <c r="H191" i="65"/>
  <c r="AP190" i="65"/>
  <c r="AM190" i="65"/>
  <c r="AO190" i="65" s="1"/>
  <c r="AB190" i="65"/>
  <c r="Z190" i="65"/>
  <c r="AA190" i="65" s="1"/>
  <c r="O190" i="65"/>
  <c r="H190" i="65"/>
  <c r="AP189" i="65"/>
  <c r="AM189" i="65"/>
  <c r="AO189" i="65" s="1"/>
  <c r="AB189" i="65"/>
  <c r="Z189" i="65"/>
  <c r="O189" i="65"/>
  <c r="H189" i="65"/>
  <c r="AT188" i="65"/>
  <c r="AS188" i="65"/>
  <c r="AR188" i="65"/>
  <c r="AQ188" i="65"/>
  <c r="AL188" i="65"/>
  <c r="AK188" i="65"/>
  <c r="AJ188" i="65"/>
  <c r="AI188" i="65"/>
  <c r="AH188" i="65"/>
  <c r="AG188" i="65"/>
  <c r="AF188" i="65"/>
  <c r="AE188" i="65"/>
  <c r="AD188" i="65"/>
  <c r="AC188" i="65"/>
  <c r="Y188" i="65"/>
  <c r="X188" i="65"/>
  <c r="W188" i="65"/>
  <c r="V188" i="65"/>
  <c r="U188" i="65"/>
  <c r="T188" i="65"/>
  <c r="S188" i="65"/>
  <c r="R188" i="65"/>
  <c r="Q188" i="65"/>
  <c r="P188" i="65"/>
  <c r="N188" i="65"/>
  <c r="M188" i="65"/>
  <c r="L188" i="65"/>
  <c r="K188" i="65"/>
  <c r="J188" i="65"/>
  <c r="I188" i="65"/>
  <c r="G188" i="65"/>
  <c r="F188" i="65"/>
  <c r="AP186" i="65"/>
  <c r="AO185" i="65"/>
  <c r="AM186" i="65"/>
  <c r="AM185" i="65" s="1"/>
  <c r="AB186" i="65"/>
  <c r="AB185" i="65" s="1"/>
  <c r="Z186" i="65"/>
  <c r="AA186" i="65" s="1"/>
  <c r="AA185" i="65" s="1"/>
  <c r="O186" i="65"/>
  <c r="O185" i="65" s="1"/>
  <c r="AT185" i="65"/>
  <c r="AS185" i="65"/>
  <c r="AR185" i="65"/>
  <c r="AQ185" i="65"/>
  <c r="AP185" i="65"/>
  <c r="AL185" i="65"/>
  <c r="AK185" i="65"/>
  <c r="AJ185" i="65"/>
  <c r="AI185" i="65"/>
  <c r="AH185" i="65"/>
  <c r="AF185" i="65"/>
  <c r="AE185" i="65"/>
  <c r="AD185" i="65"/>
  <c r="AC185" i="65"/>
  <c r="Y185" i="65"/>
  <c r="X185" i="65"/>
  <c r="W185" i="65"/>
  <c r="V185" i="65"/>
  <c r="U185" i="65"/>
  <c r="S185" i="65"/>
  <c r="R185" i="65"/>
  <c r="Q185" i="65"/>
  <c r="P185" i="65"/>
  <c r="N185" i="65"/>
  <c r="M185" i="65"/>
  <c r="L185" i="65"/>
  <c r="K185" i="65"/>
  <c r="J185" i="65"/>
  <c r="I185" i="65"/>
  <c r="H185" i="65"/>
  <c r="G185" i="65"/>
  <c r="F185" i="65"/>
  <c r="AP183" i="65"/>
  <c r="AP182" i="65" s="1"/>
  <c r="AM183" i="65"/>
  <c r="AO182" i="65" s="1"/>
  <c r="AB183" i="65"/>
  <c r="AB182" i="65" s="1"/>
  <c r="Z183" i="65"/>
  <c r="O183" i="65"/>
  <c r="O182" i="65" s="1"/>
  <c r="H182" i="65"/>
  <c r="AT182" i="65"/>
  <c r="AS182" i="65"/>
  <c r="AR182" i="65"/>
  <c r="AQ182" i="65"/>
  <c r="AL182" i="65"/>
  <c r="AK182" i="65"/>
  <c r="AJ182" i="65"/>
  <c r="AI182" i="65"/>
  <c r="AH182" i="65"/>
  <c r="AF182" i="65"/>
  <c r="AE182" i="65"/>
  <c r="AD182" i="65"/>
  <c r="AC182" i="65"/>
  <c r="Y182" i="65"/>
  <c r="X182" i="65"/>
  <c r="W182" i="65"/>
  <c r="V182" i="65"/>
  <c r="U182" i="65"/>
  <c r="S182" i="65"/>
  <c r="R182" i="65"/>
  <c r="Q182" i="65"/>
  <c r="P182" i="65"/>
  <c r="N182" i="65"/>
  <c r="M182" i="65"/>
  <c r="L182" i="65"/>
  <c r="K182" i="65"/>
  <c r="J182" i="65"/>
  <c r="I182" i="65"/>
  <c r="G182" i="65"/>
  <c r="F182" i="65"/>
  <c r="AP180" i="65"/>
  <c r="AP179" i="65" s="1"/>
  <c r="AM180" i="65"/>
  <c r="AO179" i="65" s="1"/>
  <c r="AB180" i="65"/>
  <c r="AB179" i="65" s="1"/>
  <c r="Z180" i="65"/>
  <c r="AA180" i="65" s="1"/>
  <c r="AA179" i="65" s="1"/>
  <c r="O180" i="65"/>
  <c r="H179" i="65"/>
  <c r="AT179" i="65"/>
  <c r="AS179" i="65"/>
  <c r="AR179" i="65"/>
  <c r="AQ179" i="65"/>
  <c r="AQ177" i="65" s="1"/>
  <c r="AL179" i="65"/>
  <c r="AK179" i="65"/>
  <c r="AK177" i="65" s="1"/>
  <c r="AJ179" i="65"/>
  <c r="AI179" i="65"/>
  <c r="AH179" i="65"/>
  <c r="AF179" i="65"/>
  <c r="AE179" i="65"/>
  <c r="AD179" i="65"/>
  <c r="AC179" i="65"/>
  <c r="Y179" i="65"/>
  <c r="X179" i="65"/>
  <c r="W179" i="65"/>
  <c r="V179" i="65"/>
  <c r="U179" i="65"/>
  <c r="S179" i="65"/>
  <c r="R179" i="65"/>
  <c r="Q179" i="65"/>
  <c r="P179" i="65"/>
  <c r="O179" i="65"/>
  <c r="N179" i="65"/>
  <c r="M179" i="65"/>
  <c r="L179" i="65"/>
  <c r="K179" i="65"/>
  <c r="J179" i="65"/>
  <c r="I179" i="65"/>
  <c r="G179" i="65"/>
  <c r="F179" i="65"/>
  <c r="AP174" i="65"/>
  <c r="AP173" i="65" s="1"/>
  <c r="AM174" i="65"/>
  <c r="AO174" i="65" s="1"/>
  <c r="AO173" i="65" s="1"/>
  <c r="AB174" i="65"/>
  <c r="AB173" i="65" s="1"/>
  <c r="Z174" i="65"/>
  <c r="Z173" i="65" s="1"/>
  <c r="O174" i="65"/>
  <c r="H174" i="65"/>
  <c r="H173" i="65" s="1"/>
  <c r="AT173" i="65"/>
  <c r="AS173" i="65"/>
  <c r="AR173" i="65"/>
  <c r="AQ173" i="65"/>
  <c r="AL173" i="65"/>
  <c r="AK173" i="65"/>
  <c r="AJ173" i="65"/>
  <c r="AI173" i="65"/>
  <c r="AH173" i="65"/>
  <c r="AF173" i="65"/>
  <c r="AE173" i="65"/>
  <c r="AD173" i="65"/>
  <c r="AC173" i="65"/>
  <c r="Y173" i="65"/>
  <c r="X173" i="65"/>
  <c r="W173" i="65"/>
  <c r="V173" i="65"/>
  <c r="U173" i="65"/>
  <c r="S173" i="65"/>
  <c r="R173" i="65"/>
  <c r="Q173" i="65"/>
  <c r="P173" i="65"/>
  <c r="O173" i="65"/>
  <c r="N173" i="65"/>
  <c r="M173" i="65"/>
  <c r="L173" i="65"/>
  <c r="K173" i="65"/>
  <c r="J173" i="65"/>
  <c r="I173" i="65"/>
  <c r="G173" i="65"/>
  <c r="F173" i="65"/>
  <c r="AP171" i="65"/>
  <c r="AP170" i="65" s="1"/>
  <c r="AM171" i="65"/>
  <c r="AO171" i="65" s="1"/>
  <c r="AO170" i="65" s="1"/>
  <c r="AB171" i="65"/>
  <c r="AB170" i="65" s="1"/>
  <c r="Z171" i="65"/>
  <c r="AA171" i="65" s="1"/>
  <c r="AA170" i="65" s="1"/>
  <c r="O171" i="65"/>
  <c r="O170" i="65" s="1"/>
  <c r="H171" i="65"/>
  <c r="H170" i="65" s="1"/>
  <c r="AT170" i="65"/>
  <c r="AS170" i="65"/>
  <c r="AR170" i="65"/>
  <c r="AQ170" i="65"/>
  <c r="AL170" i="65"/>
  <c r="AK170" i="65"/>
  <c r="AJ170" i="65"/>
  <c r="AI170" i="65"/>
  <c r="AH170" i="65"/>
  <c r="AF170" i="65"/>
  <c r="AE170" i="65"/>
  <c r="AD170" i="65"/>
  <c r="AC170" i="65"/>
  <c r="Y170" i="65"/>
  <c r="X170" i="65"/>
  <c r="W170" i="65"/>
  <c r="V170" i="65"/>
  <c r="U170" i="65"/>
  <c r="R170" i="65"/>
  <c r="Q170" i="65"/>
  <c r="P170" i="65"/>
  <c r="N170" i="65"/>
  <c r="M170" i="65"/>
  <c r="L170" i="65"/>
  <c r="K170" i="65"/>
  <c r="J170" i="65"/>
  <c r="I170" i="65"/>
  <c r="G170" i="65"/>
  <c r="F170" i="65"/>
  <c r="AP168" i="65"/>
  <c r="AP167" i="65" s="1"/>
  <c r="AM168" i="65"/>
  <c r="AM167" i="65" s="1"/>
  <c r="AB168" i="65"/>
  <c r="AB167" i="65" s="1"/>
  <c r="Z168" i="65"/>
  <c r="Z167" i="65" s="1"/>
  <c r="O168" i="65"/>
  <c r="O167" i="65" s="1"/>
  <c r="H168" i="65"/>
  <c r="H167" i="65" s="1"/>
  <c r="AT167" i="65"/>
  <c r="AS167" i="65"/>
  <c r="AR167" i="65"/>
  <c r="AQ167" i="65"/>
  <c r="AL167" i="65"/>
  <c r="AK167" i="65"/>
  <c r="AJ167" i="65"/>
  <c r="AI167" i="65"/>
  <c r="AH167" i="65"/>
  <c r="AF167" i="65"/>
  <c r="AE167" i="65"/>
  <c r="AD167" i="65"/>
  <c r="AC167" i="65"/>
  <c r="Y167" i="65"/>
  <c r="X167" i="65"/>
  <c r="W167" i="65"/>
  <c r="V167" i="65"/>
  <c r="U167" i="65"/>
  <c r="R167" i="65"/>
  <c r="Q167" i="65"/>
  <c r="P167" i="65"/>
  <c r="N167" i="65"/>
  <c r="M167" i="65"/>
  <c r="L167" i="65"/>
  <c r="K167" i="65"/>
  <c r="J167" i="65"/>
  <c r="I167" i="65"/>
  <c r="G167" i="65"/>
  <c r="F167" i="65"/>
  <c r="F165" i="65" s="1"/>
  <c r="AP162" i="65"/>
  <c r="AM162" i="65"/>
  <c r="AO162" i="65" s="1"/>
  <c r="AB162" i="65"/>
  <c r="Z162" i="65"/>
  <c r="AA162" i="65" s="1"/>
  <c r="P162" i="65"/>
  <c r="O162" i="65" s="1"/>
  <c r="L162" i="65"/>
  <c r="H162" i="65" s="1"/>
  <c r="AP161" i="65"/>
  <c r="AM161" i="65"/>
  <c r="AB161" i="65"/>
  <c r="Z161" i="65"/>
  <c r="AA161" i="65" s="1"/>
  <c r="P161" i="65"/>
  <c r="O161" i="65" s="1"/>
  <c r="L161" i="65"/>
  <c r="H161" i="65" s="1"/>
  <c r="AP160" i="65"/>
  <c r="AM160" i="65"/>
  <c r="AO160" i="65" s="1"/>
  <c r="AB160" i="65"/>
  <c r="Z160" i="65"/>
  <c r="AA160" i="65" s="1"/>
  <c r="P160" i="65"/>
  <c r="O160" i="65" s="1"/>
  <c r="L160" i="65"/>
  <c r="H160" i="65" s="1"/>
  <c r="AP159" i="65"/>
  <c r="AM159" i="65"/>
  <c r="AO159" i="65" s="1"/>
  <c r="AB159" i="65"/>
  <c r="Z159" i="65"/>
  <c r="P159" i="65"/>
  <c r="O159" i="65" s="1"/>
  <c r="L159" i="65"/>
  <c r="H159" i="65" s="1"/>
  <c r="AS158" i="65"/>
  <c r="AR158" i="65"/>
  <c r="AQ158" i="65"/>
  <c r="AL158" i="65"/>
  <c r="AK158" i="65"/>
  <c r="AJ158" i="65"/>
  <c r="AI158" i="65"/>
  <c r="AH158" i="65"/>
  <c r="AE158" i="65"/>
  <c r="AD158" i="65"/>
  <c r="AC158" i="65"/>
  <c r="Y158" i="65"/>
  <c r="X158" i="65"/>
  <c r="W158" i="65"/>
  <c r="V158" i="65"/>
  <c r="U158" i="65"/>
  <c r="R158" i="65"/>
  <c r="Q158" i="65"/>
  <c r="N158" i="65"/>
  <c r="M158" i="65"/>
  <c r="K158" i="65"/>
  <c r="J158" i="65"/>
  <c r="I158" i="65"/>
  <c r="G158" i="65"/>
  <c r="F158" i="65"/>
  <c r="AP156" i="65"/>
  <c r="AM156" i="65"/>
  <c r="AO156" i="65" s="1"/>
  <c r="AB156" i="65"/>
  <c r="Z156" i="65"/>
  <c r="AA156" i="65" s="1"/>
  <c r="O156" i="65"/>
  <c r="L156" i="65"/>
  <c r="H156" i="65" s="1"/>
  <c r="AP155" i="65"/>
  <c r="AM155" i="65"/>
  <c r="AB155" i="65"/>
  <c r="Z155" i="65"/>
  <c r="AA155" i="65" s="1"/>
  <c r="O155" i="65"/>
  <c r="L155" i="65"/>
  <c r="H155" i="65" s="1"/>
  <c r="H154" i="65" s="1"/>
  <c r="AS154" i="65"/>
  <c r="AR154" i="65"/>
  <c r="AQ154" i="65"/>
  <c r="AL154" i="65"/>
  <c r="AK154" i="65"/>
  <c r="AJ154" i="65"/>
  <c r="AI154" i="65"/>
  <c r="AH154" i="65"/>
  <c r="AE154" i="65"/>
  <c r="AD154" i="65"/>
  <c r="AC154" i="65"/>
  <c r="Y154" i="65"/>
  <c r="X154" i="65"/>
  <c r="W154" i="65"/>
  <c r="V154" i="65"/>
  <c r="U154" i="65"/>
  <c r="R154" i="65"/>
  <c r="Q154" i="65"/>
  <c r="P154" i="65"/>
  <c r="N154" i="65"/>
  <c r="M154" i="65"/>
  <c r="K154" i="65"/>
  <c r="J154" i="65"/>
  <c r="I154" i="65"/>
  <c r="G154" i="65"/>
  <c r="F154" i="65"/>
  <c r="AP152" i="65"/>
  <c r="AM152" i="65"/>
  <c r="AO152" i="65" s="1"/>
  <c r="AB152" i="65"/>
  <c r="Z152" i="65"/>
  <c r="O152" i="65"/>
  <c r="L152" i="65"/>
  <c r="H152" i="65" s="1"/>
  <c r="AP151" i="65"/>
  <c r="AM151" i="65"/>
  <c r="AN151" i="65" s="1"/>
  <c r="AB151" i="65"/>
  <c r="Z151" i="65"/>
  <c r="AA151" i="65" s="1"/>
  <c r="O151" i="65"/>
  <c r="L151" i="65"/>
  <c r="H151" i="65" s="1"/>
  <c r="AP150" i="65"/>
  <c r="AM150" i="65"/>
  <c r="AB150" i="65"/>
  <c r="Z150" i="65"/>
  <c r="AA150" i="65" s="1"/>
  <c r="P150" i="65"/>
  <c r="O150" i="65" s="1"/>
  <c r="L150" i="65"/>
  <c r="H150" i="65" s="1"/>
  <c r="G150" i="65"/>
  <c r="G148" i="65" s="1"/>
  <c r="F150" i="65"/>
  <c r="F148" i="65" s="1"/>
  <c r="AP149" i="65"/>
  <c r="AM149" i="65"/>
  <c r="AB149" i="65"/>
  <c r="Z149" i="65"/>
  <c r="AA149" i="65" s="1"/>
  <c r="O149" i="65"/>
  <c r="L149" i="65"/>
  <c r="AS148" i="65"/>
  <c r="AR148" i="65"/>
  <c r="AQ148" i="65"/>
  <c r="AL148" i="65"/>
  <c r="AK148" i="65"/>
  <c r="AJ148" i="65"/>
  <c r="AI148" i="65"/>
  <c r="AH148" i="65"/>
  <c r="AE148" i="65"/>
  <c r="AD148" i="65"/>
  <c r="AC148" i="65"/>
  <c r="Y148" i="65"/>
  <c r="X148" i="65"/>
  <c r="W148" i="65"/>
  <c r="V148" i="65"/>
  <c r="U148" i="65"/>
  <c r="R148" i="65"/>
  <c r="Q148" i="65"/>
  <c r="N148" i="65"/>
  <c r="M148" i="65"/>
  <c r="K148" i="65"/>
  <c r="J148" i="65"/>
  <c r="I148" i="65"/>
  <c r="AP146" i="65"/>
  <c r="AM146" i="65"/>
  <c r="AB146" i="65"/>
  <c r="Z146" i="65"/>
  <c r="AA146" i="65" s="1"/>
  <c r="O146" i="65"/>
  <c r="L146" i="65"/>
  <c r="H146" i="65" s="1"/>
  <c r="AP145" i="65"/>
  <c r="AM145" i="65"/>
  <c r="AO145" i="65" s="1"/>
  <c r="AB145" i="65"/>
  <c r="Z145" i="65"/>
  <c r="Z144" i="65" s="1"/>
  <c r="P145" i="65"/>
  <c r="O145" i="65" s="1"/>
  <c r="L145" i="65"/>
  <c r="H145" i="65" s="1"/>
  <c r="AS144" i="65"/>
  <c r="AR144" i="65"/>
  <c r="AQ144" i="65"/>
  <c r="AL144" i="65"/>
  <c r="AK144" i="65"/>
  <c r="AJ144" i="65"/>
  <c r="AI144" i="65"/>
  <c r="AH144" i="65"/>
  <c r="AE144" i="65"/>
  <c r="AD144" i="65"/>
  <c r="AC144" i="65"/>
  <c r="Y144" i="65"/>
  <c r="X144" i="65"/>
  <c r="W144" i="65"/>
  <c r="V144" i="65"/>
  <c r="U144" i="65"/>
  <c r="R144" i="65"/>
  <c r="Q144" i="65"/>
  <c r="N144" i="65"/>
  <c r="M144" i="65"/>
  <c r="K144" i="65"/>
  <c r="J144" i="65"/>
  <c r="I144" i="65"/>
  <c r="G144" i="65"/>
  <c r="F144" i="65"/>
  <c r="AM142" i="65"/>
  <c r="AM141" i="65" s="1"/>
  <c r="Z142" i="65"/>
  <c r="H142" i="65"/>
  <c r="H141" i="65" s="1"/>
  <c r="AS141" i="65"/>
  <c r="AR141" i="65"/>
  <c r="AQ141" i="65"/>
  <c r="AP141" i="65"/>
  <c r="AL141" i="65"/>
  <c r="AK141" i="65"/>
  <c r="AJ141" i="65"/>
  <c r="AI141" i="65"/>
  <c r="AH141" i="65"/>
  <c r="AE141" i="65"/>
  <c r="AD141" i="65"/>
  <c r="AC141" i="65"/>
  <c r="AB141" i="65"/>
  <c r="Y141" i="65"/>
  <c r="X141" i="65"/>
  <c r="W141" i="65"/>
  <c r="V141" i="65"/>
  <c r="U141" i="65"/>
  <c r="R141" i="65"/>
  <c r="Q141" i="65"/>
  <c r="P141" i="65"/>
  <c r="O141" i="65"/>
  <c r="N141" i="65"/>
  <c r="M141" i="65"/>
  <c r="L141" i="65"/>
  <c r="K141" i="65"/>
  <c r="J141" i="65"/>
  <c r="I141" i="65"/>
  <c r="G141" i="65"/>
  <c r="F141" i="65"/>
  <c r="AP139" i="65"/>
  <c r="AM139" i="65"/>
  <c r="AO139" i="65" s="1"/>
  <c r="AB139" i="65"/>
  <c r="Z139" i="65"/>
  <c r="AA139" i="65" s="1"/>
  <c r="O139" i="65"/>
  <c r="L139" i="65"/>
  <c r="H139" i="65" s="1"/>
  <c r="AP138" i="65"/>
  <c r="AM138" i="65"/>
  <c r="AO138" i="65" s="1"/>
  <c r="AB138" i="65"/>
  <c r="Z138" i="65"/>
  <c r="AA138" i="65" s="1"/>
  <c r="P138" i="65"/>
  <c r="O138" i="65" s="1"/>
  <c r="L138" i="65"/>
  <c r="H138" i="65" s="1"/>
  <c r="AP137" i="65"/>
  <c r="AM137" i="65"/>
  <c r="AO137" i="65" s="1"/>
  <c r="AB137" i="65"/>
  <c r="Z137" i="65"/>
  <c r="AA137" i="65" s="1"/>
  <c r="P137" i="65"/>
  <c r="O137" i="65" s="1"/>
  <c r="L137" i="65"/>
  <c r="H137" i="65" s="1"/>
  <c r="G137" i="65"/>
  <c r="F137" i="65"/>
  <c r="AP136" i="65"/>
  <c r="AM136" i="65"/>
  <c r="AO136" i="65" s="1"/>
  <c r="AB136" i="65"/>
  <c r="Z136" i="65"/>
  <c r="AA136" i="65" s="1"/>
  <c r="P136" i="65"/>
  <c r="O136" i="65" s="1"/>
  <c r="L136" i="65"/>
  <c r="H136" i="65" s="1"/>
  <c r="G136" i="65"/>
  <c r="F136" i="65"/>
  <c r="AP135" i="65"/>
  <c r="AM135" i="65"/>
  <c r="AO135" i="65" s="1"/>
  <c r="AB135" i="65"/>
  <c r="Z135" i="65"/>
  <c r="AA135" i="65" s="1"/>
  <c r="P135" i="65"/>
  <c r="O135" i="65" s="1"/>
  <c r="L135" i="65"/>
  <c r="H135" i="65" s="1"/>
  <c r="AS134" i="65"/>
  <c r="AR134" i="65"/>
  <c r="AQ134" i="65"/>
  <c r="AL134" i="65"/>
  <c r="AK134" i="65"/>
  <c r="AJ134" i="65"/>
  <c r="AI134" i="65"/>
  <c r="AH134" i="65"/>
  <c r="AE134" i="65"/>
  <c r="AD134" i="65"/>
  <c r="AC134" i="65"/>
  <c r="Y134" i="65"/>
  <c r="X134" i="65"/>
  <c r="W134" i="65"/>
  <c r="V134" i="65"/>
  <c r="U134" i="65"/>
  <c r="R134" i="65"/>
  <c r="Q134" i="65"/>
  <c r="N134" i="65"/>
  <c r="M134" i="65"/>
  <c r="K134" i="65"/>
  <c r="J134" i="65"/>
  <c r="I134" i="65"/>
  <c r="AM132" i="65"/>
  <c r="AN131" i="65" s="1"/>
  <c r="Z132" i="65"/>
  <c r="AA132" i="65" s="1"/>
  <c r="AA131" i="65" s="1"/>
  <c r="H132" i="65"/>
  <c r="H131" i="65" s="1"/>
  <c r="AS131" i="65"/>
  <c r="AR131" i="65"/>
  <c r="AQ131" i="65"/>
  <c r="AP131" i="65"/>
  <c r="AL131" i="65"/>
  <c r="AK131" i="65"/>
  <c r="AJ131" i="65"/>
  <c r="AI131" i="65"/>
  <c r="AH131" i="65"/>
  <c r="AE131" i="65"/>
  <c r="AD131" i="65"/>
  <c r="AC131" i="65"/>
  <c r="AB131" i="65"/>
  <c r="Y131" i="65"/>
  <c r="X131" i="65"/>
  <c r="W131" i="65"/>
  <c r="V131" i="65"/>
  <c r="U131" i="65"/>
  <c r="R131" i="65"/>
  <c r="Q131" i="65"/>
  <c r="P131" i="65"/>
  <c r="O131" i="65"/>
  <c r="N131" i="65"/>
  <c r="M131" i="65"/>
  <c r="L131" i="65"/>
  <c r="K131" i="65"/>
  <c r="J131" i="65"/>
  <c r="I131" i="65"/>
  <c r="G131" i="65"/>
  <c r="F131" i="65"/>
  <c r="AT129" i="65"/>
  <c r="AF129" i="65"/>
  <c r="S129" i="65"/>
  <c r="AP126" i="65"/>
  <c r="AP125" i="65" s="1"/>
  <c r="AM126" i="65"/>
  <c r="AM125" i="65" s="1"/>
  <c r="AB126" i="65"/>
  <c r="AB125" i="65" s="1"/>
  <c r="Z126" i="65"/>
  <c r="O126" i="65"/>
  <c r="O125" i="65" s="1"/>
  <c r="L126" i="65"/>
  <c r="H126" i="65" s="1"/>
  <c r="H125" i="65" s="1"/>
  <c r="AS125" i="65"/>
  <c r="AR125" i="65"/>
  <c r="AQ125" i="65"/>
  <c r="AL125" i="65"/>
  <c r="AK125" i="65"/>
  <c r="AJ125" i="65"/>
  <c r="AI125" i="65"/>
  <c r="AH125" i="65"/>
  <c r="AE125" i="65"/>
  <c r="AD125" i="65"/>
  <c r="AC125" i="65"/>
  <c r="Y125" i="65"/>
  <c r="X125" i="65"/>
  <c r="W125" i="65"/>
  <c r="V125" i="65"/>
  <c r="U125" i="65"/>
  <c r="R125" i="65"/>
  <c r="Q125" i="65"/>
  <c r="P125" i="65"/>
  <c r="N125" i="65"/>
  <c r="M125" i="65"/>
  <c r="K125" i="65"/>
  <c r="J125" i="65"/>
  <c r="I125" i="65"/>
  <c r="G125" i="65"/>
  <c r="F125" i="65"/>
  <c r="AM123" i="65"/>
  <c r="AM122" i="65" s="1"/>
  <c r="Z123" i="65"/>
  <c r="AA123" i="65" s="1"/>
  <c r="AA122" i="65" s="1"/>
  <c r="H123" i="65"/>
  <c r="H122" i="65" s="1"/>
  <c r="AS122" i="65"/>
  <c r="AR122" i="65"/>
  <c r="AQ122" i="65"/>
  <c r="AP122" i="65"/>
  <c r="AL122" i="65"/>
  <c r="AK122" i="65"/>
  <c r="AJ122" i="65"/>
  <c r="AI122" i="65"/>
  <c r="AH122" i="65"/>
  <c r="AE122" i="65"/>
  <c r="AD122" i="65"/>
  <c r="AC122" i="65"/>
  <c r="AB122" i="65"/>
  <c r="Y122" i="65"/>
  <c r="X122" i="65"/>
  <c r="W122" i="65"/>
  <c r="V122" i="65"/>
  <c r="U122" i="65"/>
  <c r="R122" i="65"/>
  <c r="Q122" i="65"/>
  <c r="P122" i="65"/>
  <c r="O122" i="65"/>
  <c r="N122" i="65"/>
  <c r="M122" i="65"/>
  <c r="L122" i="65"/>
  <c r="K122" i="65"/>
  <c r="J122" i="65"/>
  <c r="I122" i="65"/>
  <c r="G122" i="65"/>
  <c r="F122" i="65"/>
  <c r="AP120" i="65"/>
  <c r="AP119" i="65" s="1"/>
  <c r="AM120" i="65"/>
  <c r="AO120" i="65" s="1"/>
  <c r="AO119" i="65" s="1"/>
  <c r="AB120" i="65"/>
  <c r="AB119" i="65" s="1"/>
  <c r="Z120" i="65"/>
  <c r="AA120" i="65" s="1"/>
  <c r="AA119" i="65" s="1"/>
  <c r="P120" i="65"/>
  <c r="O120" i="65" s="1"/>
  <c r="O119" i="65" s="1"/>
  <c r="L120" i="65"/>
  <c r="H120" i="65" s="1"/>
  <c r="H119" i="65" s="1"/>
  <c r="AS119" i="65"/>
  <c r="AR119" i="65"/>
  <c r="AQ119" i="65"/>
  <c r="AL119" i="65"/>
  <c r="AK119" i="65"/>
  <c r="AJ119" i="65"/>
  <c r="AI119" i="65"/>
  <c r="AH119" i="65"/>
  <c r="AE119" i="65"/>
  <c r="AD119" i="65"/>
  <c r="AC119" i="65"/>
  <c r="Y119" i="65"/>
  <c r="X119" i="65"/>
  <c r="W119" i="65"/>
  <c r="V119" i="65"/>
  <c r="U119" i="65"/>
  <c r="R119" i="65"/>
  <c r="Q119" i="65"/>
  <c r="N119" i="65"/>
  <c r="M119" i="65"/>
  <c r="K119" i="65"/>
  <c r="J119" i="65"/>
  <c r="I119" i="65"/>
  <c r="G119" i="65"/>
  <c r="F119" i="65"/>
  <c r="AP117" i="65"/>
  <c r="AM117" i="65"/>
  <c r="AO117" i="65" s="1"/>
  <c r="AB117" i="65"/>
  <c r="Z117" i="65"/>
  <c r="AA117" i="65" s="1"/>
  <c r="H117" i="65"/>
  <c r="AP116" i="65"/>
  <c r="AM116" i="65"/>
  <c r="AO116" i="65" s="1"/>
  <c r="AB116" i="65"/>
  <c r="Z116" i="65"/>
  <c r="AA116" i="65" s="1"/>
  <c r="H116" i="65"/>
  <c r="AS115" i="65"/>
  <c r="AR115" i="65"/>
  <c r="AQ115" i="65"/>
  <c r="AL115" i="65"/>
  <c r="AK115" i="65"/>
  <c r="AJ115" i="65"/>
  <c r="AI115" i="65"/>
  <c r="AH115" i="65"/>
  <c r="AE115" i="65"/>
  <c r="AD115" i="65"/>
  <c r="AC115" i="65"/>
  <c r="Y115" i="65"/>
  <c r="X115" i="65"/>
  <c r="W115" i="65"/>
  <c r="V115" i="65"/>
  <c r="U115" i="65"/>
  <c r="R115" i="65"/>
  <c r="Q115" i="65"/>
  <c r="P115" i="65"/>
  <c r="O115" i="65"/>
  <c r="N115" i="65"/>
  <c r="M115" i="65"/>
  <c r="L115" i="65"/>
  <c r="K115" i="65"/>
  <c r="J115" i="65"/>
  <c r="I115" i="65"/>
  <c r="G115" i="65"/>
  <c r="F115" i="65"/>
  <c r="AP113" i="65"/>
  <c r="AM113" i="65"/>
  <c r="AO113" i="65" s="1"/>
  <c r="AB113" i="65"/>
  <c r="Z113" i="65"/>
  <c r="AA113" i="65" s="1"/>
  <c r="P113" i="65"/>
  <c r="P110" i="65" s="1"/>
  <c r="L113" i="65"/>
  <c r="AP112" i="65"/>
  <c r="AM112" i="65"/>
  <c r="AB112" i="65"/>
  <c r="Z112" i="65"/>
  <c r="AA112" i="65" s="1"/>
  <c r="O112" i="65"/>
  <c r="L112" i="65"/>
  <c r="H112" i="65" s="1"/>
  <c r="AP111" i="65"/>
  <c r="AM111" i="65"/>
  <c r="AB111" i="65"/>
  <c r="Z111" i="65"/>
  <c r="AA111" i="65" s="1"/>
  <c r="O111" i="65"/>
  <c r="L111" i="65"/>
  <c r="H111" i="65" s="1"/>
  <c r="AS110" i="65"/>
  <c r="AR110" i="65"/>
  <c r="AQ110" i="65"/>
  <c r="AL110" i="65"/>
  <c r="AK110" i="65"/>
  <c r="AJ110" i="65"/>
  <c r="AI110" i="65"/>
  <c r="AH110" i="65"/>
  <c r="AE110" i="65"/>
  <c r="AD110" i="65"/>
  <c r="AC110" i="65"/>
  <c r="Y110" i="65"/>
  <c r="X110" i="65"/>
  <c r="W110" i="65"/>
  <c r="V110" i="65"/>
  <c r="U110" i="65"/>
  <c r="R110" i="65"/>
  <c r="Q110" i="65"/>
  <c r="N110" i="65"/>
  <c r="M110" i="65"/>
  <c r="K110" i="65"/>
  <c r="J110" i="65"/>
  <c r="I110" i="65"/>
  <c r="G110" i="65"/>
  <c r="F110" i="65"/>
  <c r="AP108" i="65"/>
  <c r="AM108" i="65"/>
  <c r="AO108" i="65" s="1"/>
  <c r="AB108" i="65"/>
  <c r="Z108" i="65"/>
  <c r="AA108" i="65" s="1"/>
  <c r="O108" i="65"/>
  <c r="L108" i="65"/>
  <c r="H108" i="65" s="1"/>
  <c r="AP107" i="65"/>
  <c r="AM107" i="65"/>
  <c r="AO107" i="65" s="1"/>
  <c r="AB107" i="65"/>
  <c r="Z107" i="65"/>
  <c r="AA107" i="65" s="1"/>
  <c r="O107" i="65"/>
  <c r="L107" i="65"/>
  <c r="H107" i="65" s="1"/>
  <c r="AP106" i="65"/>
  <c r="AM106" i="65"/>
  <c r="AB106" i="65"/>
  <c r="Z106" i="65"/>
  <c r="AA106" i="65" s="1"/>
  <c r="P106" i="65"/>
  <c r="O106" i="65" s="1"/>
  <c r="L106" i="65"/>
  <c r="H106" i="65" s="1"/>
  <c r="AP105" i="65"/>
  <c r="AM105" i="65"/>
  <c r="AO105" i="65" s="1"/>
  <c r="AB105" i="65"/>
  <c r="Z105" i="65"/>
  <c r="AA105" i="65" s="1"/>
  <c r="O105" i="65"/>
  <c r="L105" i="65"/>
  <c r="H105" i="65" s="1"/>
  <c r="AP104" i="65"/>
  <c r="AM104" i="65"/>
  <c r="AO104" i="65" s="1"/>
  <c r="AB104" i="65"/>
  <c r="Z104" i="65"/>
  <c r="AA104" i="65" s="1"/>
  <c r="P104" i="65"/>
  <c r="O104" i="65" s="1"/>
  <c r="L104" i="65"/>
  <c r="H104" i="65" s="1"/>
  <c r="AP103" i="65"/>
  <c r="AM103" i="65"/>
  <c r="AB103" i="65"/>
  <c r="Z103" i="65"/>
  <c r="AA103" i="65" s="1"/>
  <c r="P103" i="65"/>
  <c r="O103" i="65" s="1"/>
  <c r="L103" i="65"/>
  <c r="H103" i="65" s="1"/>
  <c r="AP102" i="65"/>
  <c r="AM102" i="65"/>
  <c r="AO102" i="65" s="1"/>
  <c r="AB102" i="65"/>
  <c r="Z102" i="65"/>
  <c r="AA102" i="65" s="1"/>
  <c r="P102" i="65"/>
  <c r="O102" i="65" s="1"/>
  <c r="L102" i="65"/>
  <c r="H102" i="65" s="1"/>
  <c r="AP101" i="65"/>
  <c r="AM101" i="65"/>
  <c r="AO101" i="65" s="1"/>
  <c r="AB101" i="65"/>
  <c r="Z101" i="65"/>
  <c r="AA101" i="65" s="1"/>
  <c r="P101" i="65"/>
  <c r="O101" i="65" s="1"/>
  <c r="L101" i="65"/>
  <c r="H101" i="65" s="1"/>
  <c r="AP100" i="65"/>
  <c r="AM100" i="65"/>
  <c r="AO100" i="65" s="1"/>
  <c r="AB100" i="65"/>
  <c r="Z100" i="65"/>
  <c r="P100" i="65"/>
  <c r="L100" i="65"/>
  <c r="H100" i="65" s="1"/>
  <c r="AP99" i="65"/>
  <c r="AM99" i="65"/>
  <c r="AB99" i="65"/>
  <c r="Z99" i="65"/>
  <c r="AA99" i="65" s="1"/>
  <c r="P99" i="65"/>
  <c r="O99" i="65" s="1"/>
  <c r="L99" i="65"/>
  <c r="AS98" i="65"/>
  <c r="AR98" i="65"/>
  <c r="AQ98" i="65"/>
  <c r="AL98" i="65"/>
  <c r="AK98" i="65"/>
  <c r="AJ98" i="65"/>
  <c r="AI98" i="65"/>
  <c r="AH98" i="65"/>
  <c r="AF98" i="65"/>
  <c r="AE98" i="65"/>
  <c r="AD98" i="65"/>
  <c r="AC98" i="65"/>
  <c r="Y98" i="65"/>
  <c r="X98" i="65"/>
  <c r="W98" i="65"/>
  <c r="V98" i="65"/>
  <c r="U98" i="65"/>
  <c r="S98" i="65"/>
  <c r="R98" i="65"/>
  <c r="Q98" i="65"/>
  <c r="N98" i="65"/>
  <c r="M98" i="65"/>
  <c r="K98" i="65"/>
  <c r="J98" i="65"/>
  <c r="I98" i="65"/>
  <c r="G98" i="65"/>
  <c r="F98" i="65"/>
  <c r="AP96" i="65"/>
  <c r="AM96" i="65"/>
  <c r="AO96" i="65" s="1"/>
  <c r="AB96" i="65"/>
  <c r="Z96" i="65"/>
  <c r="AA96" i="65" s="1"/>
  <c r="P96" i="65"/>
  <c r="O96" i="65" s="1"/>
  <c r="L96" i="65"/>
  <c r="AP95" i="65"/>
  <c r="AM95" i="65"/>
  <c r="AO95" i="65" s="1"/>
  <c r="AB95" i="65"/>
  <c r="Z95" i="65"/>
  <c r="AA95" i="65" s="1"/>
  <c r="P95" i="65"/>
  <c r="L95" i="65"/>
  <c r="H95" i="65" s="1"/>
  <c r="G95" i="65"/>
  <c r="F95" i="65"/>
  <c r="AS94" i="65"/>
  <c r="AR94" i="65"/>
  <c r="AQ94" i="65"/>
  <c r="AL94" i="65"/>
  <c r="AK94" i="65"/>
  <c r="AJ94" i="65"/>
  <c r="AI94" i="65"/>
  <c r="AH94" i="65"/>
  <c r="AE94" i="65"/>
  <c r="AD94" i="65"/>
  <c r="AC94" i="65"/>
  <c r="Y94" i="65"/>
  <c r="X94" i="65"/>
  <c r="W94" i="65"/>
  <c r="V94" i="65"/>
  <c r="U94" i="65"/>
  <c r="R94" i="65"/>
  <c r="Q94" i="65"/>
  <c r="N94" i="65"/>
  <c r="M94" i="65"/>
  <c r="K94" i="65"/>
  <c r="J94" i="65"/>
  <c r="I94" i="65"/>
  <c r="G94" i="65"/>
  <c r="F94" i="65"/>
  <c r="AM92" i="65"/>
  <c r="AO92" i="65" s="1"/>
  <c r="AO91" i="65" s="1"/>
  <c r="Z92" i="65"/>
  <c r="AA92" i="65" s="1"/>
  <c r="AA91" i="65" s="1"/>
  <c r="H92" i="65"/>
  <c r="H91" i="65" s="1"/>
  <c r="AS91" i="65"/>
  <c r="AR91" i="65"/>
  <c r="AQ91" i="65"/>
  <c r="AP91" i="65"/>
  <c r="AL91" i="65"/>
  <c r="AK91" i="65"/>
  <c r="AJ91" i="65"/>
  <c r="AI91" i="65"/>
  <c r="AH91" i="65"/>
  <c r="AE91" i="65"/>
  <c r="AD91" i="65"/>
  <c r="AC91" i="65"/>
  <c r="AB91" i="65"/>
  <c r="Y91" i="65"/>
  <c r="X91" i="65"/>
  <c r="W91" i="65"/>
  <c r="V91" i="65"/>
  <c r="U91" i="65"/>
  <c r="R91" i="65"/>
  <c r="Q91" i="65"/>
  <c r="P91" i="65"/>
  <c r="O91" i="65"/>
  <c r="N91" i="65"/>
  <c r="M91" i="65"/>
  <c r="L91" i="65"/>
  <c r="K91" i="65"/>
  <c r="J91" i="65"/>
  <c r="I91" i="65"/>
  <c r="G91" i="65"/>
  <c r="F91" i="65"/>
  <c r="AP89" i="65"/>
  <c r="AM89" i="65"/>
  <c r="AO89" i="65" s="1"/>
  <c r="AB89" i="65"/>
  <c r="Z89" i="65"/>
  <c r="AA89" i="65" s="1"/>
  <c r="P89" i="65"/>
  <c r="O89" i="65" s="1"/>
  <c r="L89" i="65"/>
  <c r="H89" i="65" s="1"/>
  <c r="AP88" i="65"/>
  <c r="AM88" i="65"/>
  <c r="AB88" i="65"/>
  <c r="Z88" i="65"/>
  <c r="AA88" i="65" s="1"/>
  <c r="O88" i="65"/>
  <c r="L88" i="65"/>
  <c r="H88" i="65" s="1"/>
  <c r="G88" i="65"/>
  <c r="G86" i="65" s="1"/>
  <c r="F88" i="65"/>
  <c r="AP87" i="65"/>
  <c r="AM87" i="65"/>
  <c r="AB87" i="65"/>
  <c r="Z87" i="65"/>
  <c r="AA87" i="65" s="1"/>
  <c r="P87" i="65"/>
  <c r="O87" i="65" s="1"/>
  <c r="L87" i="65"/>
  <c r="H87" i="65" s="1"/>
  <c r="F87" i="65"/>
  <c r="AS86" i="65"/>
  <c r="AR86" i="65"/>
  <c r="AQ86" i="65"/>
  <c r="AL86" i="65"/>
  <c r="AK86" i="65"/>
  <c r="AJ86" i="65"/>
  <c r="AI86" i="65"/>
  <c r="AH86" i="65"/>
  <c r="AE86" i="65"/>
  <c r="AD86" i="65"/>
  <c r="AC86" i="65"/>
  <c r="Y86" i="65"/>
  <c r="X86" i="65"/>
  <c r="W86" i="65"/>
  <c r="V86" i="65"/>
  <c r="U86" i="65"/>
  <c r="R86" i="65"/>
  <c r="Q86" i="65"/>
  <c r="N86" i="65"/>
  <c r="M86" i="65"/>
  <c r="K86" i="65"/>
  <c r="J86" i="65"/>
  <c r="I86" i="65"/>
  <c r="AM84" i="65"/>
  <c r="Z84" i="65"/>
  <c r="AA84" i="65" s="1"/>
  <c r="H84" i="65"/>
  <c r="AM83" i="65"/>
  <c r="Z83" i="65"/>
  <c r="AA83" i="65" s="1"/>
  <c r="H83" i="65"/>
  <c r="AS82" i="65"/>
  <c r="AR82" i="65"/>
  <c r="AQ82" i="65"/>
  <c r="AP82" i="65"/>
  <c r="AL82" i="65"/>
  <c r="AK82" i="65"/>
  <c r="AJ82" i="65"/>
  <c r="AI82" i="65"/>
  <c r="AH82" i="65"/>
  <c r="AF82" i="65"/>
  <c r="AE82" i="65"/>
  <c r="AD82" i="65"/>
  <c r="AC82" i="65"/>
  <c r="AB82" i="65"/>
  <c r="Y82" i="65"/>
  <c r="X82" i="65"/>
  <c r="W82" i="65"/>
  <c r="V82" i="65"/>
  <c r="U82" i="65"/>
  <c r="S82" i="65"/>
  <c r="R82" i="65"/>
  <c r="Q82" i="65"/>
  <c r="P82" i="65"/>
  <c r="O82" i="65"/>
  <c r="N82" i="65"/>
  <c r="M82" i="65"/>
  <c r="L82" i="65"/>
  <c r="K82" i="65"/>
  <c r="J82" i="65"/>
  <c r="I82" i="65"/>
  <c r="G82" i="65"/>
  <c r="F82" i="65"/>
  <c r="AP80" i="65"/>
  <c r="AM80" i="65"/>
  <c r="AB80" i="65"/>
  <c r="Z80" i="65"/>
  <c r="AA80" i="65" s="1"/>
  <c r="P80" i="65"/>
  <c r="O80" i="65" s="1"/>
  <c r="L80" i="65"/>
  <c r="H80" i="65" s="1"/>
  <c r="AP79" i="65"/>
  <c r="AM79" i="65"/>
  <c r="AO79" i="65" s="1"/>
  <c r="AB79" i="65"/>
  <c r="Z79" i="65"/>
  <c r="AA79" i="65" s="1"/>
  <c r="P79" i="65"/>
  <c r="O79" i="65" s="1"/>
  <c r="L79" i="65"/>
  <c r="H79" i="65" s="1"/>
  <c r="AP78" i="65"/>
  <c r="AM78" i="65"/>
  <c r="AB78" i="65"/>
  <c r="Z78" i="65"/>
  <c r="P78" i="65"/>
  <c r="O78" i="65" s="1"/>
  <c r="L78" i="65"/>
  <c r="H78" i="65" s="1"/>
  <c r="AS77" i="65"/>
  <c r="AR77" i="65"/>
  <c r="AQ77" i="65"/>
  <c r="AL77" i="65"/>
  <c r="AK77" i="65"/>
  <c r="AJ77" i="65"/>
  <c r="AI77" i="65"/>
  <c r="AH77" i="65"/>
  <c r="AE77" i="65"/>
  <c r="AD77" i="65"/>
  <c r="AC77" i="65"/>
  <c r="Y77" i="65"/>
  <c r="X77" i="65"/>
  <c r="W77" i="65"/>
  <c r="V77" i="65"/>
  <c r="U77" i="65"/>
  <c r="R77" i="65"/>
  <c r="Q77" i="65"/>
  <c r="N77" i="65"/>
  <c r="M77" i="65"/>
  <c r="K77" i="65"/>
  <c r="J77" i="65"/>
  <c r="I77" i="65"/>
  <c r="G77" i="65"/>
  <c r="F77" i="65"/>
  <c r="AP75" i="65"/>
  <c r="AM75" i="65"/>
  <c r="AO75" i="65" s="1"/>
  <c r="AB75" i="65"/>
  <c r="Z75" i="65"/>
  <c r="AA75" i="65" s="1"/>
  <c r="P75" i="65"/>
  <c r="O75" i="65" s="1"/>
  <c r="L75" i="65"/>
  <c r="H75" i="65" s="1"/>
  <c r="AP74" i="65"/>
  <c r="AM74" i="65"/>
  <c r="AO74" i="65" s="1"/>
  <c r="AB74" i="65"/>
  <c r="Z74" i="65"/>
  <c r="AA74" i="65" s="1"/>
  <c r="O74" i="65"/>
  <c r="L74" i="65"/>
  <c r="H74" i="65" s="1"/>
  <c r="AP73" i="65"/>
  <c r="AM73" i="65"/>
  <c r="AB73" i="65"/>
  <c r="Z73" i="65"/>
  <c r="AA73" i="65" s="1"/>
  <c r="P73" i="65"/>
  <c r="O73" i="65" s="1"/>
  <c r="L73" i="65"/>
  <c r="AS72" i="65"/>
  <c r="AR72" i="65"/>
  <c r="AQ72" i="65"/>
  <c r="AL72" i="65"/>
  <c r="AK72" i="65"/>
  <c r="AJ72" i="65"/>
  <c r="AI72" i="65"/>
  <c r="AH72" i="65"/>
  <c r="AE72" i="65"/>
  <c r="AD72" i="65"/>
  <c r="AC72" i="65"/>
  <c r="Y72" i="65"/>
  <c r="X72" i="65"/>
  <c r="W72" i="65"/>
  <c r="V72" i="65"/>
  <c r="U72" i="65"/>
  <c r="R72" i="65"/>
  <c r="Q72" i="65"/>
  <c r="N72" i="65"/>
  <c r="M72" i="65"/>
  <c r="K72" i="65"/>
  <c r="J72" i="65"/>
  <c r="I72" i="65"/>
  <c r="G72" i="65"/>
  <c r="F72" i="65"/>
  <c r="AP67" i="65"/>
  <c r="AM67" i="65"/>
  <c r="AO67" i="65" s="1"/>
  <c r="AB67" i="65"/>
  <c r="Z67" i="65"/>
  <c r="AA67" i="65" s="1"/>
  <c r="O67" i="65"/>
  <c r="L67" i="65"/>
  <c r="H67" i="65" s="1"/>
  <c r="AP66" i="65"/>
  <c r="AM66" i="65"/>
  <c r="AO66" i="65" s="1"/>
  <c r="AB66" i="65"/>
  <c r="Z66" i="65"/>
  <c r="AA66" i="65" s="1"/>
  <c r="O66" i="65"/>
  <c r="L66" i="65"/>
  <c r="H66" i="65" s="1"/>
  <c r="AP65" i="65"/>
  <c r="AM65" i="65"/>
  <c r="AB65" i="65"/>
  <c r="AA65" i="65"/>
  <c r="O65" i="65"/>
  <c r="L65" i="65"/>
  <c r="H65" i="65" s="1"/>
  <c r="AS64" i="65"/>
  <c r="AR64" i="65"/>
  <c r="AQ64" i="65"/>
  <c r="AL64" i="65"/>
  <c r="AK64" i="65"/>
  <c r="AJ64" i="65"/>
  <c r="AI64" i="65"/>
  <c r="AH64" i="65"/>
  <c r="AE64" i="65"/>
  <c r="AD64" i="65"/>
  <c r="AC64" i="65"/>
  <c r="Y64" i="65"/>
  <c r="X64" i="65"/>
  <c r="W64" i="65"/>
  <c r="V64" i="65"/>
  <c r="U64" i="65"/>
  <c r="R64" i="65"/>
  <c r="Q64" i="65"/>
  <c r="P64" i="65"/>
  <c r="N64" i="65"/>
  <c r="M64" i="65"/>
  <c r="K64" i="65"/>
  <c r="J64" i="65"/>
  <c r="I64" i="65"/>
  <c r="G64" i="65"/>
  <c r="F64" i="65"/>
  <c r="AP62" i="65"/>
  <c r="AM62" i="65"/>
  <c r="AB62" i="65"/>
  <c r="Z62" i="65"/>
  <c r="AA62" i="65" s="1"/>
  <c r="O62" i="65"/>
  <c r="L62" i="65"/>
  <c r="H62" i="65" s="1"/>
  <c r="AP61" i="65"/>
  <c r="AM61" i="65"/>
  <c r="AB61" i="65"/>
  <c r="Z61" i="65"/>
  <c r="AA61" i="65" s="1"/>
  <c r="P61" i="65"/>
  <c r="O61" i="65" s="1"/>
  <c r="L61" i="65"/>
  <c r="H61" i="65" s="1"/>
  <c r="F61" i="65"/>
  <c r="F59" i="65" s="1"/>
  <c r="AP60" i="65"/>
  <c r="AM60" i="65"/>
  <c r="AB60" i="65"/>
  <c r="AA60" i="65"/>
  <c r="P60" i="65"/>
  <c r="O60" i="65" s="1"/>
  <c r="L60" i="65"/>
  <c r="H60" i="65" s="1"/>
  <c r="AS59" i="65"/>
  <c r="AR59" i="65"/>
  <c r="AQ59" i="65"/>
  <c r="AL59" i="65"/>
  <c r="AK59" i="65"/>
  <c r="AJ59" i="65"/>
  <c r="AI59" i="65"/>
  <c r="AH59" i="65"/>
  <c r="AE59" i="65"/>
  <c r="AD59" i="65"/>
  <c r="AC59" i="65"/>
  <c r="Y59" i="65"/>
  <c r="X59" i="65"/>
  <c r="W59" i="65"/>
  <c r="V59" i="65"/>
  <c r="U59" i="65"/>
  <c r="R59" i="65"/>
  <c r="Q59" i="65"/>
  <c r="N59" i="65"/>
  <c r="M59" i="65"/>
  <c r="K59" i="65"/>
  <c r="J59" i="65"/>
  <c r="I59" i="65"/>
  <c r="G59" i="65"/>
  <c r="AP57" i="65"/>
  <c r="AM57" i="65"/>
  <c r="AO57" i="65" s="1"/>
  <c r="AB57" i="65"/>
  <c r="Z57" i="65"/>
  <c r="AA57" i="65" s="1"/>
  <c r="O57" i="65"/>
  <c r="L57" i="65"/>
  <c r="H57" i="65" s="1"/>
  <c r="AP56" i="65"/>
  <c r="AM56" i="65"/>
  <c r="AO56" i="65" s="1"/>
  <c r="AB56" i="65"/>
  <c r="Z56" i="65"/>
  <c r="AA56" i="65" s="1"/>
  <c r="O56" i="65"/>
  <c r="L56" i="65"/>
  <c r="H56" i="65" s="1"/>
  <c r="AP55" i="65"/>
  <c r="AM55" i="65"/>
  <c r="AO55" i="65" s="1"/>
  <c r="AB55" i="65"/>
  <c r="Z55" i="65"/>
  <c r="AA55" i="65" s="1"/>
  <c r="O55" i="65"/>
  <c r="L55" i="65"/>
  <c r="H55" i="65" s="1"/>
  <c r="AP54" i="65"/>
  <c r="AM54" i="65"/>
  <c r="AB54" i="65"/>
  <c r="Z54" i="65"/>
  <c r="AA54" i="65" s="1"/>
  <c r="O54" i="65"/>
  <c r="L54" i="65"/>
  <c r="H54" i="65" s="1"/>
  <c r="AP53" i="65"/>
  <c r="AM53" i="65"/>
  <c r="AO53" i="65" s="1"/>
  <c r="AB53" i="65"/>
  <c r="Z53" i="65"/>
  <c r="AA53" i="65" s="1"/>
  <c r="P53" i="65"/>
  <c r="O53" i="65" s="1"/>
  <c r="L53" i="65"/>
  <c r="H53" i="65" s="1"/>
  <c r="AP52" i="65"/>
  <c r="AM52" i="65"/>
  <c r="AO52" i="65" s="1"/>
  <c r="AB52" i="65"/>
  <c r="Z52" i="65"/>
  <c r="AA52" i="65" s="1"/>
  <c r="P52" i="65"/>
  <c r="O52" i="65" s="1"/>
  <c r="L52" i="65"/>
  <c r="H52" i="65" s="1"/>
  <c r="AP51" i="65"/>
  <c r="AM51" i="65"/>
  <c r="AO51" i="65" s="1"/>
  <c r="AB51" i="65"/>
  <c r="Z51" i="65"/>
  <c r="P51" i="65"/>
  <c r="O51" i="65" s="1"/>
  <c r="L51" i="65"/>
  <c r="H51" i="65" s="1"/>
  <c r="AP50" i="65"/>
  <c r="AM50" i="65"/>
  <c r="AO50" i="65" s="1"/>
  <c r="AB50" i="65"/>
  <c r="Z50" i="65"/>
  <c r="AA50" i="65" s="1"/>
  <c r="P50" i="65"/>
  <c r="O50" i="65" s="1"/>
  <c r="L50" i="65"/>
  <c r="H50" i="65" s="1"/>
  <c r="AP49" i="65"/>
  <c r="AM49" i="65"/>
  <c r="AB49" i="65"/>
  <c r="Z49" i="65"/>
  <c r="AA49" i="65" s="1"/>
  <c r="O49" i="65"/>
  <c r="L49" i="65"/>
  <c r="H49" i="65" s="1"/>
  <c r="AP48" i="65"/>
  <c r="AM48" i="65"/>
  <c r="AB48" i="65"/>
  <c r="Z48" i="65"/>
  <c r="AA48" i="65" s="1"/>
  <c r="P48" i="65"/>
  <c r="O48" i="65"/>
  <c r="L48" i="65"/>
  <c r="H48" i="65"/>
  <c r="AP47" i="65"/>
  <c r="AM47" i="65"/>
  <c r="AO47" i="65" s="1"/>
  <c r="AB47" i="65"/>
  <c r="Z47" i="65"/>
  <c r="AA47" i="65" s="1"/>
  <c r="P47" i="65"/>
  <c r="O47" i="65" s="1"/>
  <c r="L47" i="65"/>
  <c r="H47" i="65" s="1"/>
  <c r="G47" i="65"/>
  <c r="G46" i="65" s="1"/>
  <c r="F47" i="65"/>
  <c r="F46" i="65" s="1"/>
  <c r="AS46" i="65"/>
  <c r="AR46" i="65"/>
  <c r="AQ46" i="65"/>
  <c r="AL46" i="65"/>
  <c r="AK46" i="65"/>
  <c r="AJ46" i="65"/>
  <c r="AI46" i="65"/>
  <c r="AH46" i="65"/>
  <c r="AH41" i="65" s="1"/>
  <c r="AF46" i="65"/>
  <c r="AE46" i="65"/>
  <c r="AD46" i="65"/>
  <c r="AC46" i="65"/>
  <c r="Y46" i="65"/>
  <c r="X46" i="65"/>
  <c r="W46" i="65"/>
  <c r="V46" i="65"/>
  <c r="U46" i="65"/>
  <c r="U41" i="65" s="1"/>
  <c r="U36" i="65" s="1"/>
  <c r="U33" i="65" s="1"/>
  <c r="U27" i="65" s="1"/>
  <c r="S46" i="65"/>
  <c r="R46" i="65"/>
  <c r="Q46" i="65"/>
  <c r="N46" i="65"/>
  <c r="M46" i="65"/>
  <c r="K46" i="65"/>
  <c r="J46" i="65"/>
  <c r="I46" i="65"/>
  <c r="AP44" i="65"/>
  <c r="AM44" i="65"/>
  <c r="AN44" i="65" s="1"/>
  <c r="AB44" i="65"/>
  <c r="Z44" i="65"/>
  <c r="AA44" i="65" s="1"/>
  <c r="O44" i="65"/>
  <c r="O41" i="65" s="1"/>
  <c r="L44" i="65"/>
  <c r="H44" i="65" s="1"/>
  <c r="AP43" i="65"/>
  <c r="AM43" i="65"/>
  <c r="AO43" i="65" s="1"/>
  <c r="AB43" i="65"/>
  <c r="Z43" i="65"/>
  <c r="H43" i="65"/>
  <c r="AP42" i="65"/>
  <c r="AM42" i="65"/>
  <c r="AB42" i="65"/>
  <c r="Z42" i="65"/>
  <c r="AA42" i="65" s="1"/>
  <c r="H42" i="65"/>
  <c r="AS41" i="65"/>
  <c r="AR41" i="65"/>
  <c r="AQ41" i="65"/>
  <c r="AL41" i="65"/>
  <c r="AK41" i="65"/>
  <c r="AJ41" i="65"/>
  <c r="AI41" i="65"/>
  <c r="AF41" i="65"/>
  <c r="AE41" i="65"/>
  <c r="AD41" i="65"/>
  <c r="AC41" i="65"/>
  <c r="Y41" i="65"/>
  <c r="X41" i="65"/>
  <c r="W41" i="65"/>
  <c r="V41" i="65"/>
  <c r="S41" i="65"/>
  <c r="R41" i="65"/>
  <c r="Q41" i="65"/>
  <c r="P41" i="65"/>
  <c r="N41" i="65"/>
  <c r="M41" i="65"/>
  <c r="K41" i="65"/>
  <c r="J41" i="65"/>
  <c r="I41" i="65"/>
  <c r="G41" i="65"/>
  <c r="F41" i="65"/>
  <c r="AP39" i="65"/>
  <c r="AM39" i="65"/>
  <c r="AO39" i="65" s="1"/>
  <c r="AB39" i="65"/>
  <c r="Z39" i="65"/>
  <c r="AA39" i="65" s="1"/>
  <c r="P39" i="65"/>
  <c r="O39" i="65" s="1"/>
  <c r="L39" i="65"/>
  <c r="H39" i="65" s="1"/>
  <c r="AP38" i="65"/>
  <c r="AM38" i="65"/>
  <c r="AB38" i="65"/>
  <c r="Z38" i="65"/>
  <c r="AA38" i="65" s="1"/>
  <c r="P38" i="65"/>
  <c r="O38" i="65" s="1"/>
  <c r="L38" i="65"/>
  <c r="H38" i="65" s="1"/>
  <c r="AP37" i="65"/>
  <c r="AM37" i="65"/>
  <c r="AO37" i="65" s="1"/>
  <c r="AB37" i="65"/>
  <c r="Z37" i="65"/>
  <c r="AA37" i="65" s="1"/>
  <c r="P37" i="65"/>
  <c r="O37" i="65" s="1"/>
  <c r="L37" i="65"/>
  <c r="G37" i="65"/>
  <c r="G36" i="65" s="1"/>
  <c r="F37" i="65"/>
  <c r="F36" i="65" s="1"/>
  <c r="AS36" i="65"/>
  <c r="AR36" i="65"/>
  <c r="AQ36" i="65"/>
  <c r="AL36" i="65"/>
  <c r="AK36" i="65"/>
  <c r="AJ36" i="65"/>
  <c r="AI36" i="65"/>
  <c r="AH36" i="65"/>
  <c r="AE36" i="65"/>
  <c r="AD36" i="65"/>
  <c r="AC36" i="65"/>
  <c r="Y36" i="65"/>
  <c r="X36" i="65"/>
  <c r="W36" i="65"/>
  <c r="V36" i="65"/>
  <c r="R36" i="65"/>
  <c r="Q36" i="65"/>
  <c r="N36" i="65"/>
  <c r="M36" i="65"/>
  <c r="K36" i="65"/>
  <c r="J36" i="65"/>
  <c r="I36" i="65"/>
  <c r="H34" i="65"/>
  <c r="H33" i="65" s="1"/>
  <c r="AS33" i="65"/>
  <c r="AR33" i="65"/>
  <c r="AQ33" i="65"/>
  <c r="AP33" i="65"/>
  <c r="AL33" i="65"/>
  <c r="AK33" i="65"/>
  <c r="AJ33" i="65"/>
  <c r="AI33" i="65"/>
  <c r="AE33" i="65"/>
  <c r="AD33" i="65"/>
  <c r="AC33" i="65"/>
  <c r="AB33" i="65"/>
  <c r="Y33" i="65"/>
  <c r="X33" i="65"/>
  <c r="W33" i="65"/>
  <c r="V33" i="65"/>
  <c r="R33" i="65"/>
  <c r="Q33" i="65"/>
  <c r="P33" i="65"/>
  <c r="O33" i="65"/>
  <c r="N33" i="65"/>
  <c r="M33" i="65"/>
  <c r="L33" i="65"/>
  <c r="K33" i="65"/>
  <c r="J33" i="65"/>
  <c r="I33" i="65"/>
  <c r="G33" i="65"/>
  <c r="F33" i="65"/>
  <c r="AP31" i="65"/>
  <c r="AM31" i="65"/>
  <c r="AB31" i="65"/>
  <c r="Z31" i="65"/>
  <c r="AA31" i="65" s="1"/>
  <c r="P31" i="65"/>
  <c r="O31" i="65" s="1"/>
  <c r="L31" i="65"/>
  <c r="H31" i="65" s="1"/>
  <c r="AP30" i="65"/>
  <c r="AM30" i="65"/>
  <c r="AO30" i="65" s="1"/>
  <c r="AB30" i="65"/>
  <c r="Z30" i="65"/>
  <c r="AA30" i="65" s="1"/>
  <c r="P30" i="65"/>
  <c r="O30" i="65" s="1"/>
  <c r="L30" i="65"/>
  <c r="H30" i="65" s="1"/>
  <c r="AP29" i="65"/>
  <c r="AM29" i="65"/>
  <c r="AB29" i="65"/>
  <c r="Z29" i="65"/>
  <c r="AA29" i="65" s="1"/>
  <c r="P29" i="65"/>
  <c r="O29" i="65" s="1"/>
  <c r="L29" i="65"/>
  <c r="H29" i="65" s="1"/>
  <c r="AP28" i="65"/>
  <c r="AM28" i="65"/>
  <c r="AO28" i="65" s="1"/>
  <c r="AB28" i="65"/>
  <c r="Z28" i="65"/>
  <c r="AA28" i="65" s="1"/>
  <c r="P28" i="65"/>
  <c r="L28" i="65"/>
  <c r="H28" i="65" s="1"/>
  <c r="AS27" i="65"/>
  <c r="AR27" i="65"/>
  <c r="AQ27" i="65"/>
  <c r="AL27" i="65"/>
  <c r="AK27" i="65"/>
  <c r="AJ27" i="65"/>
  <c r="AI27" i="65"/>
  <c r="AF27" i="65"/>
  <c r="AE27" i="65"/>
  <c r="AD27" i="65"/>
  <c r="AC27" i="65"/>
  <c r="Y27" i="65"/>
  <c r="X27" i="65"/>
  <c r="W27" i="65"/>
  <c r="V27" i="65"/>
  <c r="S27" i="65"/>
  <c r="R27" i="65"/>
  <c r="Q27" i="65"/>
  <c r="N27" i="65"/>
  <c r="M27" i="65"/>
  <c r="K27" i="65"/>
  <c r="J27" i="65"/>
  <c r="I27" i="65"/>
  <c r="G27" i="65"/>
  <c r="F27" i="65"/>
  <c r="AP25" i="65"/>
  <c r="AM25" i="65"/>
  <c r="AO25" i="65" s="1"/>
  <c r="AB25" i="65"/>
  <c r="Z25" i="65"/>
  <c r="AA25" i="65" s="1"/>
  <c r="O25" i="65"/>
  <c r="L25" i="65"/>
  <c r="H25" i="65" s="1"/>
  <c r="AP24" i="65"/>
  <c r="AM24" i="65"/>
  <c r="AO24" i="65" s="1"/>
  <c r="AB24" i="65"/>
  <c r="Z24" i="65"/>
  <c r="AA24" i="65" s="1"/>
  <c r="P24" i="65"/>
  <c r="O24" i="65" s="1"/>
  <c r="L24" i="65"/>
  <c r="H24" i="65" s="1"/>
  <c r="AP23" i="65"/>
  <c r="AM23" i="65"/>
  <c r="AO23" i="65" s="1"/>
  <c r="AB23" i="65"/>
  <c r="Z23" i="65"/>
  <c r="AA23" i="65" s="1"/>
  <c r="O23" i="65"/>
  <c r="L23" i="65"/>
  <c r="H23" i="65" s="1"/>
  <c r="AP22" i="65"/>
  <c r="AM22" i="65"/>
  <c r="AO22" i="65" s="1"/>
  <c r="AB22" i="65"/>
  <c r="Z22" i="65"/>
  <c r="AA22" i="65" s="1"/>
  <c r="P22" i="65"/>
  <c r="O22" i="65" s="1"/>
  <c r="L22" i="65"/>
  <c r="H22" i="65" s="1"/>
  <c r="AP21" i="65"/>
  <c r="AM21" i="65"/>
  <c r="AO21" i="65" s="1"/>
  <c r="AB21" i="65"/>
  <c r="Z21" i="65"/>
  <c r="AA21" i="65" s="1"/>
  <c r="O21" i="65"/>
  <c r="L21" i="65"/>
  <c r="H21" i="65" s="1"/>
  <c r="AP20" i="65"/>
  <c r="AM20" i="65"/>
  <c r="AO20" i="65" s="1"/>
  <c r="AB20" i="65"/>
  <c r="Z20" i="65"/>
  <c r="AA20" i="65" s="1"/>
  <c r="O20" i="65"/>
  <c r="L20" i="65"/>
  <c r="H20" i="65" s="1"/>
  <c r="AP19" i="65"/>
  <c r="AM19" i="65"/>
  <c r="AO19" i="65" s="1"/>
  <c r="AB19" i="65"/>
  <c r="Z19" i="65"/>
  <c r="AA19" i="65" s="1"/>
  <c r="O19" i="65"/>
  <c r="L19" i="65"/>
  <c r="H19" i="65" s="1"/>
  <c r="AP18" i="65"/>
  <c r="AM18" i="65"/>
  <c r="AO18" i="65" s="1"/>
  <c r="AB18" i="65"/>
  <c r="Z18" i="65"/>
  <c r="AA18" i="65" s="1"/>
  <c r="P18" i="65"/>
  <c r="O18" i="65" s="1"/>
  <c r="L18" i="65"/>
  <c r="H18" i="65" s="1"/>
  <c r="AP17" i="65"/>
  <c r="AM17" i="65"/>
  <c r="AO17" i="65" s="1"/>
  <c r="AB17" i="65"/>
  <c r="Z17" i="65"/>
  <c r="AA17" i="65" s="1"/>
  <c r="P17" i="65"/>
  <c r="O17" i="65" s="1"/>
  <c r="L17" i="65"/>
  <c r="H17" i="65" s="1"/>
  <c r="AP16" i="65"/>
  <c r="AM16" i="65"/>
  <c r="AO16" i="65" s="1"/>
  <c r="AB16" i="65"/>
  <c r="Z16" i="65"/>
  <c r="AA16" i="65" s="1"/>
  <c r="P16" i="65"/>
  <c r="O16" i="65" s="1"/>
  <c r="L16" i="65"/>
  <c r="H16" i="65" s="1"/>
  <c r="F16" i="65"/>
  <c r="F13" i="65" s="1"/>
  <c r="AP15" i="65"/>
  <c r="AM15" i="65"/>
  <c r="AO15" i="65" s="1"/>
  <c r="AB15" i="65"/>
  <c r="Z15" i="65"/>
  <c r="AA15" i="65" s="1"/>
  <c r="P15" i="65"/>
  <c r="O15" i="65" s="1"/>
  <c r="L15" i="65"/>
  <c r="H15" i="65" s="1"/>
  <c r="AP14" i="65"/>
  <c r="AM14" i="65"/>
  <c r="AB14" i="65"/>
  <c r="Z14" i="65"/>
  <c r="AA14" i="65" s="1"/>
  <c r="P14" i="65"/>
  <c r="O14" i="65" s="1"/>
  <c r="L14" i="65"/>
  <c r="H14" i="65" s="1"/>
  <c r="AT13" i="65"/>
  <c r="AS13" i="65"/>
  <c r="AR13" i="65"/>
  <c r="AQ13" i="65"/>
  <c r="AL13" i="65"/>
  <c r="AK13" i="65"/>
  <c r="AJ13" i="65"/>
  <c r="AI13" i="65"/>
  <c r="AF13" i="65"/>
  <c r="AE13" i="65"/>
  <c r="AD13" i="65"/>
  <c r="AC13" i="65"/>
  <c r="Y13" i="65"/>
  <c r="X13" i="65"/>
  <c r="W13" i="65"/>
  <c r="V13" i="65"/>
  <c r="S13" i="65"/>
  <c r="R13" i="65"/>
  <c r="Q13" i="65"/>
  <c r="N13" i="65"/>
  <c r="M13" i="65"/>
  <c r="K13" i="65"/>
  <c r="J13" i="65"/>
  <c r="I13" i="65"/>
  <c r="G13" i="65"/>
  <c r="AM11" i="65"/>
  <c r="Z11" i="65"/>
  <c r="AA11" i="65" s="1"/>
  <c r="H11" i="65"/>
  <c r="AM10" i="65"/>
  <c r="Z10" i="65"/>
  <c r="AA10" i="65" s="1"/>
  <c r="H10" i="65"/>
  <c r="AT9" i="65"/>
  <c r="AS9" i="65"/>
  <c r="AR9" i="65"/>
  <c r="AQ9" i="65"/>
  <c r="AP9" i="65"/>
  <c r="AL9" i="65"/>
  <c r="AK9" i="65"/>
  <c r="AJ9" i="65"/>
  <c r="AI9" i="65"/>
  <c r="AH9" i="65"/>
  <c r="AF9" i="65"/>
  <c r="AE9" i="65"/>
  <c r="AD9" i="65"/>
  <c r="AC9" i="65"/>
  <c r="AB9" i="65"/>
  <c r="Y9" i="65"/>
  <c r="X9" i="65"/>
  <c r="W9" i="65"/>
  <c r="V9" i="65"/>
  <c r="U9" i="65"/>
  <c r="S9" i="65"/>
  <c r="R9" i="65"/>
  <c r="Q9" i="65"/>
  <c r="P9" i="65"/>
  <c r="O9" i="65"/>
  <c r="N9" i="65"/>
  <c r="M9" i="65"/>
  <c r="L9" i="65"/>
  <c r="K9" i="65"/>
  <c r="J9" i="65"/>
  <c r="I9" i="65"/>
  <c r="G9" i="65"/>
  <c r="F9" i="65"/>
  <c r="AG5" i="65"/>
  <c r="AG4" i="65" s="1"/>
  <c r="T5" i="65"/>
  <c r="T4" i="65" s="1"/>
  <c r="H3" i="65"/>
  <c r="Z91" i="65" l="1"/>
  <c r="AF70" i="65"/>
  <c r="F86" i="65"/>
  <c r="L119" i="65"/>
  <c r="G165" i="65"/>
  <c r="AR177" i="65"/>
  <c r="P86" i="65"/>
  <c r="Z131" i="65"/>
  <c r="AP144" i="65"/>
  <c r="Z185" i="65"/>
  <c r="AP36" i="65"/>
  <c r="AH33" i="65"/>
  <c r="AH27" i="65" s="1"/>
  <c r="AH7" i="65" s="1"/>
  <c r="O154" i="65"/>
  <c r="AT177" i="65"/>
  <c r="Z86" i="65"/>
  <c r="AB27" i="65"/>
  <c r="AN11" i="65"/>
  <c r="AO11" i="65"/>
  <c r="AP115" i="65"/>
  <c r="Z182" i="65"/>
  <c r="AA183" i="65"/>
  <c r="AA182" i="65" s="1"/>
  <c r="J177" i="65"/>
  <c r="P59" i="65"/>
  <c r="AP59" i="65"/>
  <c r="AM91" i="65"/>
  <c r="K177" i="65"/>
  <c r="Z188" i="65"/>
  <c r="AP134" i="65"/>
  <c r="AB188" i="65"/>
  <c r="AB177" i="65" s="1"/>
  <c r="L148" i="65"/>
  <c r="Z179" i="65"/>
  <c r="AL177" i="65"/>
  <c r="Q177" i="65"/>
  <c r="AI177" i="65"/>
  <c r="P27" i="65"/>
  <c r="AC177" i="65"/>
  <c r="I177" i="65"/>
  <c r="R177" i="65"/>
  <c r="AJ177" i="65"/>
  <c r="U177" i="65"/>
  <c r="L177" i="65"/>
  <c r="AB115" i="65"/>
  <c r="AS177" i="65"/>
  <c r="Z59" i="65"/>
  <c r="AB59" i="65"/>
  <c r="Z119" i="65"/>
  <c r="AN186" i="65"/>
  <c r="AN185" i="65" s="1"/>
  <c r="AO192" i="65"/>
  <c r="AO188" i="65" s="1"/>
  <c r="AO177" i="65" s="1"/>
  <c r="AN190" i="65"/>
  <c r="AM110" i="65"/>
  <c r="X177" i="65"/>
  <c r="AF177" i="65"/>
  <c r="S70" i="65"/>
  <c r="G177" i="65"/>
  <c r="P177" i="65"/>
  <c r="Y177" i="65"/>
  <c r="AH177" i="65"/>
  <c r="V177" i="65"/>
  <c r="AD177" i="65"/>
  <c r="AP188" i="65"/>
  <c r="AP177" i="65" s="1"/>
  <c r="M177" i="65"/>
  <c r="W177" i="65"/>
  <c r="AE177" i="65"/>
  <c r="H188" i="65"/>
  <c r="H177" i="65" s="1"/>
  <c r="AL129" i="65"/>
  <c r="G134" i="65"/>
  <c r="G129" i="65" s="1"/>
  <c r="F177" i="65"/>
  <c r="N177" i="65"/>
  <c r="O188" i="65"/>
  <c r="O177" i="65" s="1"/>
  <c r="S177" i="65"/>
  <c r="AA189" i="65"/>
  <c r="AA188" i="65" s="1"/>
  <c r="AM179" i="65"/>
  <c r="AN180" i="65"/>
  <c r="AN179" i="65" s="1"/>
  <c r="AM188" i="65"/>
  <c r="AN189" i="65"/>
  <c r="AM182" i="65"/>
  <c r="AN183" i="65"/>
  <c r="AN182" i="65" s="1"/>
  <c r="AN191" i="65"/>
  <c r="AA82" i="65"/>
  <c r="L86" i="65"/>
  <c r="AQ129" i="65"/>
  <c r="H134" i="65"/>
  <c r="AO38" i="65"/>
  <c r="AO36" i="65" s="1"/>
  <c r="AO48" i="65"/>
  <c r="H82" i="65"/>
  <c r="AO161" i="65"/>
  <c r="AO158" i="65" s="1"/>
  <c r="AO34" i="65"/>
  <c r="AO33" i="65" s="1"/>
  <c r="AA134" i="65"/>
  <c r="AB46" i="65"/>
  <c r="AB134" i="65"/>
  <c r="AB144" i="65"/>
  <c r="O64" i="65"/>
  <c r="AO126" i="65"/>
  <c r="AO125" i="65" s="1"/>
  <c r="R7" i="65"/>
  <c r="AO29" i="65"/>
  <c r="AM36" i="65"/>
  <c r="AO42" i="65"/>
  <c r="H64" i="65"/>
  <c r="AB86" i="65"/>
  <c r="AO111" i="65"/>
  <c r="AR129" i="65"/>
  <c r="AO61" i="65"/>
  <c r="AO103" i="65"/>
  <c r="AJ165" i="65"/>
  <c r="U7" i="65"/>
  <c r="P72" i="65"/>
  <c r="AB72" i="65"/>
  <c r="J70" i="65"/>
  <c r="Z98" i="65"/>
  <c r="L154" i="65"/>
  <c r="AO73" i="65"/>
  <c r="AO72" i="65" s="1"/>
  <c r="AB154" i="65"/>
  <c r="AR7" i="65"/>
  <c r="Z41" i="65"/>
  <c r="H86" i="65"/>
  <c r="L110" i="65"/>
  <c r="F134" i="65"/>
  <c r="F129" i="65" s="1"/>
  <c r="AB94" i="65"/>
  <c r="AF7" i="65"/>
  <c r="H9" i="65"/>
  <c r="AP64" i="65"/>
  <c r="AP77" i="65"/>
  <c r="AO123" i="65"/>
  <c r="AO122" i="65" s="1"/>
  <c r="AM144" i="65"/>
  <c r="AB158" i="65"/>
  <c r="AN86" i="65"/>
  <c r="AP41" i="65"/>
  <c r="Z46" i="65"/>
  <c r="P148" i="65"/>
  <c r="AP154" i="65"/>
  <c r="AM170" i="65"/>
  <c r="AN171" i="65"/>
  <c r="AN170" i="65" s="1"/>
  <c r="AO44" i="65"/>
  <c r="AM46" i="65"/>
  <c r="AN82" i="65"/>
  <c r="AC129" i="65"/>
  <c r="AO83" i="65"/>
  <c r="AQ70" i="65"/>
  <c r="AE129" i="65"/>
  <c r="AN41" i="65"/>
  <c r="AO54" i="65"/>
  <c r="AO62" i="65"/>
  <c r="AM148" i="65"/>
  <c r="AN154" i="65"/>
  <c r="AO149" i="65"/>
  <c r="AS165" i="65"/>
  <c r="AD70" i="65"/>
  <c r="AM94" i="65"/>
  <c r="AN9" i="65"/>
  <c r="O72" i="65"/>
  <c r="Z9" i="65"/>
  <c r="AM27" i="65"/>
  <c r="X7" i="65"/>
  <c r="L36" i="65"/>
  <c r="AM41" i="65"/>
  <c r="AA43" i="65"/>
  <c r="AA41" i="65" s="1"/>
  <c r="AO49" i="65"/>
  <c r="AO80" i="65"/>
  <c r="AO87" i="65"/>
  <c r="AO99" i="65"/>
  <c r="AA100" i="65"/>
  <c r="O113" i="65"/>
  <c r="O110" i="65" s="1"/>
  <c r="H115" i="65"/>
  <c r="P119" i="65"/>
  <c r="M129" i="65"/>
  <c r="AO142" i="65"/>
  <c r="AO141" i="65" s="1"/>
  <c r="AO146" i="65"/>
  <c r="AO144" i="65" s="1"/>
  <c r="O148" i="65"/>
  <c r="AK165" i="65"/>
  <c r="AA174" i="65"/>
  <c r="AA173" i="65" s="1"/>
  <c r="AN77" i="65"/>
  <c r="AN91" i="65"/>
  <c r="AN113" i="65"/>
  <c r="AN126" i="65"/>
  <c r="AN125" i="65" s="1"/>
  <c r="W70" i="65"/>
  <c r="J7" i="65"/>
  <c r="L13" i="65"/>
  <c r="Z27" i="65"/>
  <c r="AP27" i="65"/>
  <c r="AB41" i="65"/>
  <c r="AM59" i="65"/>
  <c r="AP86" i="65"/>
  <c r="AO94" i="65"/>
  <c r="AP98" i="65"/>
  <c r="Q70" i="65"/>
  <c r="L125" i="65"/>
  <c r="AS129" i="65"/>
  <c r="AO150" i="65"/>
  <c r="AL165" i="65"/>
  <c r="Z170" i="65"/>
  <c r="AN174" i="65"/>
  <c r="AN173" i="65" s="1"/>
  <c r="K129" i="65"/>
  <c r="AL7" i="65"/>
  <c r="AA36" i="65"/>
  <c r="AA64" i="65"/>
  <c r="AM77" i="65"/>
  <c r="O86" i="65"/>
  <c r="AP110" i="65"/>
  <c r="AN34" i="65"/>
  <c r="AN33" i="65" s="1"/>
  <c r="AA94" i="65"/>
  <c r="AC7" i="65"/>
  <c r="AA9" i="65"/>
  <c r="AD7" i="65"/>
  <c r="AO9" i="65"/>
  <c r="AM13" i="65"/>
  <c r="AB13" i="65"/>
  <c r="H27" i="65"/>
  <c r="AQ7" i="65"/>
  <c r="AB36" i="65"/>
  <c r="Z36" i="65"/>
  <c r="Z64" i="65"/>
  <c r="AB64" i="65"/>
  <c r="AM72" i="65"/>
  <c r="AO78" i="65"/>
  <c r="AM86" i="65"/>
  <c r="AO106" i="65"/>
  <c r="AO112" i="65"/>
  <c r="AO115" i="65"/>
  <c r="AK70" i="65"/>
  <c r="AA145" i="65"/>
  <c r="AA144" i="65" s="1"/>
  <c r="AO151" i="65"/>
  <c r="AP158" i="65"/>
  <c r="AA168" i="65"/>
  <c r="AA167" i="65" s="1"/>
  <c r="AN49" i="65"/>
  <c r="AT7" i="65"/>
  <c r="AN141" i="65"/>
  <c r="S7" i="65"/>
  <c r="V7" i="65"/>
  <c r="AE7" i="65"/>
  <c r="P13" i="65"/>
  <c r="O28" i="65"/>
  <c r="O27" i="65" s="1"/>
  <c r="L46" i="65"/>
  <c r="AA59" i="65"/>
  <c r="AM64" i="65"/>
  <c r="AB77" i="65"/>
  <c r="AO88" i="65"/>
  <c r="AP94" i="65"/>
  <c r="M70" i="65"/>
  <c r="AB110" i="65"/>
  <c r="I129" i="65"/>
  <c r="Q129" i="65"/>
  <c r="AK129" i="65"/>
  <c r="U129" i="65"/>
  <c r="AN59" i="65"/>
  <c r="AN119" i="65"/>
  <c r="L59" i="65"/>
  <c r="H59" i="65"/>
  <c r="R70" i="65"/>
  <c r="AE70" i="65"/>
  <c r="AR70" i="65"/>
  <c r="G70" i="65"/>
  <c r="AN148" i="65"/>
  <c r="AN168" i="65"/>
  <c r="AN167" i="65" s="1"/>
  <c r="AP13" i="65"/>
  <c r="G7" i="65"/>
  <c r="H41" i="65"/>
  <c r="AP46" i="65"/>
  <c r="AH70" i="65"/>
  <c r="AP72" i="65"/>
  <c r="V70" i="65"/>
  <c r="L77" i="65"/>
  <c r="Z82" i="65"/>
  <c r="K70" i="65"/>
  <c r="AB98" i="65"/>
  <c r="P134" i="65"/>
  <c r="Z134" i="65"/>
  <c r="H149" i="65"/>
  <c r="H148" i="65" s="1"/>
  <c r="AA154" i="65"/>
  <c r="H158" i="65"/>
  <c r="AT165" i="65"/>
  <c r="AO168" i="65"/>
  <c r="AO167" i="65" s="1"/>
  <c r="AO165" i="65" s="1"/>
  <c r="AN122" i="65"/>
  <c r="AN139" i="65"/>
  <c r="U70" i="65"/>
  <c r="AI7" i="65"/>
  <c r="I7" i="65"/>
  <c r="Q7" i="65"/>
  <c r="AJ7" i="65"/>
  <c r="AK7" i="65"/>
  <c r="AI129" i="65"/>
  <c r="AS70" i="65"/>
  <c r="AR165" i="65"/>
  <c r="AI70" i="65"/>
  <c r="AJ70" i="65"/>
  <c r="AQ165" i="65"/>
  <c r="M7" i="65"/>
  <c r="AD129" i="65"/>
  <c r="J129" i="65"/>
  <c r="AH165" i="65"/>
  <c r="Y7" i="65"/>
  <c r="R129" i="65"/>
  <c r="N7" i="65"/>
  <c r="W7" i="65"/>
  <c r="K7" i="65"/>
  <c r="N70" i="65"/>
  <c r="X70" i="65"/>
  <c r="W129" i="65"/>
  <c r="AI165" i="65"/>
  <c r="AS7" i="65"/>
  <c r="Y70" i="65"/>
  <c r="N129" i="65"/>
  <c r="AH129" i="65"/>
  <c r="AC70" i="65"/>
  <c r="I70" i="65"/>
  <c r="O13" i="65"/>
  <c r="AA27" i="65"/>
  <c r="AO64" i="65"/>
  <c r="H13" i="65"/>
  <c r="O46" i="65"/>
  <c r="AA13" i="65"/>
  <c r="F7" i="65"/>
  <c r="O36" i="65"/>
  <c r="H46" i="65"/>
  <c r="O59" i="65"/>
  <c r="Z125" i="65"/>
  <c r="AA126" i="65"/>
  <c r="AA125" i="65" s="1"/>
  <c r="AO14" i="65"/>
  <c r="AO13" i="65" s="1"/>
  <c r="AO31" i="65"/>
  <c r="AA51" i="65"/>
  <c r="AA46" i="65" s="1"/>
  <c r="AO60" i="65"/>
  <c r="L64" i="65"/>
  <c r="AA72" i="65"/>
  <c r="O77" i="65"/>
  <c r="AA86" i="65"/>
  <c r="O95" i="65"/>
  <c r="O94" i="65" s="1"/>
  <c r="P94" i="65"/>
  <c r="V129" i="65"/>
  <c r="AP148" i="65"/>
  <c r="P36" i="65"/>
  <c r="H37" i="65"/>
  <c r="H36" i="65" s="1"/>
  <c r="L41" i="65"/>
  <c r="Z77" i="65"/>
  <c r="AA78" i="65"/>
  <c r="AA77" i="65" s="1"/>
  <c r="H96" i="65"/>
  <c r="H94" i="65" s="1"/>
  <c r="L94" i="65"/>
  <c r="O100" i="65"/>
  <c r="O98" i="65" s="1"/>
  <c r="P98" i="65"/>
  <c r="AA115" i="65"/>
  <c r="AM131" i="65"/>
  <c r="AO132" i="65"/>
  <c r="AO131" i="65" s="1"/>
  <c r="AO134" i="65"/>
  <c r="L27" i="65"/>
  <c r="P46" i="65"/>
  <c r="X129" i="65"/>
  <c r="H144" i="65"/>
  <c r="Z148" i="65"/>
  <c r="AA152" i="65"/>
  <c r="AA148" i="65" s="1"/>
  <c r="AM9" i="65"/>
  <c r="Z13" i="65"/>
  <c r="H99" i="65"/>
  <c r="H98" i="65" s="1"/>
  <c r="L98" i="65"/>
  <c r="Y129" i="65"/>
  <c r="AP165" i="65"/>
  <c r="H73" i="65"/>
  <c r="H72" i="65" s="1"/>
  <c r="L72" i="65"/>
  <c r="AO84" i="65"/>
  <c r="AM82" i="65"/>
  <c r="Z110" i="65"/>
  <c r="AJ129" i="65"/>
  <c r="O134" i="65"/>
  <c r="AA142" i="65"/>
  <c r="AA141" i="65" s="1"/>
  <c r="Z141" i="65"/>
  <c r="O144" i="65"/>
  <c r="O158" i="65"/>
  <c r="F70" i="65"/>
  <c r="AA110" i="65"/>
  <c r="AB148" i="65"/>
  <c r="Z158" i="65"/>
  <c r="AA159" i="65"/>
  <c r="AA158" i="65" s="1"/>
  <c r="Z72" i="65"/>
  <c r="AL70" i="65"/>
  <c r="H77" i="65"/>
  <c r="AM98" i="65"/>
  <c r="AA98" i="65"/>
  <c r="AM154" i="65"/>
  <c r="AO155" i="65"/>
  <c r="AO154" i="65" s="1"/>
  <c r="Z94" i="65"/>
  <c r="AM158" i="65"/>
  <c r="H113" i="65"/>
  <c r="H110" i="65" s="1"/>
  <c r="Z115" i="65"/>
  <c r="P144" i="65"/>
  <c r="L158" i="65"/>
  <c r="AM119" i="65"/>
  <c r="AM134" i="65"/>
  <c r="L134" i="65"/>
  <c r="Z154" i="65"/>
  <c r="AM173" i="65"/>
  <c r="AM115" i="65"/>
  <c r="P77" i="65"/>
  <c r="Z122" i="65"/>
  <c r="L144" i="65"/>
  <c r="P158" i="65"/>
  <c r="AN165" i="65" l="1"/>
  <c r="AO110" i="65"/>
  <c r="AA177" i="65"/>
  <c r="F5" i="65"/>
  <c r="F4" i="65" s="1"/>
  <c r="AM165" i="65"/>
  <c r="AN188" i="65"/>
  <c r="AN177" i="65" s="1"/>
  <c r="Z177" i="65"/>
  <c r="AO82" i="65"/>
  <c r="AO59" i="65"/>
  <c r="AP129" i="65"/>
  <c r="AO148" i="65"/>
  <c r="AO129" i="65" s="1"/>
  <c r="AM34" i="65"/>
  <c r="AA34" i="65" s="1"/>
  <c r="AP70" i="65"/>
  <c r="AB70" i="65"/>
  <c r="AO46" i="65"/>
  <c r="AC5" i="65"/>
  <c r="AM177" i="65"/>
  <c r="Z129" i="65"/>
  <c r="AO41" i="65"/>
  <c r="U5" i="65"/>
  <c r="U4" i="65" s="1"/>
  <c r="AO27" i="65"/>
  <c r="AK5" i="65"/>
  <c r="AP7" i="65"/>
  <c r="AN64" i="65"/>
  <c r="AB129" i="65"/>
  <c r="J4" i="65"/>
  <c r="AD5" i="65"/>
  <c r="AN110" i="65"/>
  <c r="AN46" i="65"/>
  <c r="AN72" i="65"/>
  <c r="AQ5" i="65"/>
  <c r="AO98" i="65"/>
  <c r="I4" i="65"/>
  <c r="AO86" i="65"/>
  <c r="AN27" i="65"/>
  <c r="AB7" i="65"/>
  <c r="AN98" i="65"/>
  <c r="AN13" i="65"/>
  <c r="AR5" i="65"/>
  <c r="AE5" i="65"/>
  <c r="AN134" i="65"/>
  <c r="L129" i="65"/>
  <c r="L70" i="65"/>
  <c r="AA129" i="65"/>
  <c r="AN115" i="65"/>
  <c r="N4" i="65"/>
  <c r="AL5" i="65"/>
  <c r="AS5" i="65"/>
  <c r="K4" i="65"/>
  <c r="AN36" i="65"/>
  <c r="H129" i="65"/>
  <c r="AN94" i="65"/>
  <c r="O70" i="65"/>
  <c r="AO77" i="65"/>
  <c r="P70" i="65"/>
  <c r="X5" i="65"/>
  <c r="G5" i="65"/>
  <c r="G4" i="65" s="1"/>
  <c r="H7" i="65"/>
  <c r="V5" i="65"/>
  <c r="V4" i="65" s="1"/>
  <c r="AN158" i="65"/>
  <c r="AN144" i="65"/>
  <c r="Y5" i="65"/>
  <c r="P129" i="65"/>
  <c r="P7" i="65"/>
  <c r="M4" i="65"/>
  <c r="AI5" i="65"/>
  <c r="AI4" i="65" s="1"/>
  <c r="O129" i="65"/>
  <c r="AJ5" i="65"/>
  <c r="AJ4" i="65" s="1"/>
  <c r="W5" i="65"/>
  <c r="W4" i="65" s="1"/>
  <c r="AH5" i="65"/>
  <c r="AH4" i="65" s="1"/>
  <c r="AM70" i="65"/>
  <c r="AM129" i="65"/>
  <c r="H70" i="65"/>
  <c r="L7" i="65"/>
  <c r="AA70" i="65"/>
  <c r="Z70" i="65"/>
  <c r="AM33" i="65"/>
  <c r="AM7" i="65" s="1"/>
  <c r="AM5" i="65" s="1"/>
  <c r="O7" i="65"/>
  <c r="AO7" i="65" l="1"/>
  <c r="AP5" i="65"/>
  <c r="AB5" i="65"/>
  <c r="AN129" i="65"/>
  <c r="H5" i="65"/>
  <c r="H4" i="65" s="1"/>
  <c r="AO70" i="65"/>
  <c r="AN70" i="65"/>
  <c r="AN7" i="65"/>
  <c r="L4" i="65"/>
  <c r="AA33" i="65"/>
  <c r="AA7" i="65" s="1"/>
  <c r="AA5" i="65" s="1"/>
  <c r="Z34" i="65"/>
  <c r="Z33" i="65" s="1"/>
  <c r="Z7" i="65" s="1"/>
  <c r="Z5" i="65" s="1"/>
  <c r="AO5" i="65" l="1"/>
  <c r="AN5" i="65"/>
</calcChain>
</file>

<file path=xl/sharedStrings.xml><?xml version="1.0" encoding="utf-8"?>
<sst xmlns="http://schemas.openxmlformats.org/spreadsheetml/2006/main" count="864" uniqueCount="454">
  <si>
    <t>Initial Allocation - Adopted 06/28/2022</t>
  </si>
  <si>
    <t>Mid Year - 07/01/2022 - 12/31/2022</t>
  </si>
  <si>
    <t>3/4  Year - 07/01/2022 - 03/31/2023</t>
  </si>
  <si>
    <t>2021-2022 Adopted LCAP</t>
  </si>
  <si>
    <t>Projected End Balance</t>
  </si>
  <si>
    <t>Target Ttl Budgeted LCAP</t>
  </si>
  <si>
    <t>Target Base</t>
  </si>
  <si>
    <t>Target S&amp;C - Regular</t>
  </si>
  <si>
    <t>Target S&amp;C 15%</t>
  </si>
  <si>
    <t>Carryover/Unspent S&amp;C</t>
  </si>
  <si>
    <t>Other State/Local Funds</t>
  </si>
  <si>
    <t>Other Federal Funds</t>
  </si>
  <si>
    <t>MPP% - 35.96%</t>
  </si>
  <si>
    <t>Target Total Budgeted LCAP</t>
  </si>
  <si>
    <t>Total Spent LCAP</t>
  </si>
  <si>
    <t>Total Balance LCAP</t>
  </si>
  <si>
    <t>2022-23 LCAP</t>
  </si>
  <si>
    <t>Must equal zero or red:</t>
  </si>
  <si>
    <t>Lookup Key</t>
  </si>
  <si>
    <t>2022-2023               LCAP Reference (Business Plus)</t>
  </si>
  <si>
    <t>2021-2022           LCAP Action</t>
  </si>
  <si>
    <t>22-23 Total LCAP                   (Do Not Edit Column)</t>
  </si>
  <si>
    <t>Base LCFF</t>
  </si>
  <si>
    <t>S &amp; C - Regular</t>
  </si>
  <si>
    <t>S &amp; C - 15%</t>
  </si>
  <si>
    <t>Carryover/Unspent S&amp;C - (15.9% even distribution)</t>
  </si>
  <si>
    <t>Total S &amp; C FTE &amp; NON FTE (Reg &amp; 15%)                       (Do Not Edit Column)</t>
  </si>
  <si>
    <t>S &amp; C FTE</t>
  </si>
  <si>
    <t>S &amp; C NON FTE</t>
  </si>
  <si>
    <t>S &amp; C NON FTE (Unspent/Carryover)</t>
  </si>
  <si>
    <t>22-23 Total Spent LCAP 12/31/2022                                    (Do Not Edit Column)</t>
  </si>
  <si>
    <t>22-23 Balance LCAP                  12/31/2022                                 (Do Not Edit Column)</t>
  </si>
  <si>
    <t>22-23 Total Spent LCAP 03/31/2023                                    (Do Not Edit Column)</t>
  </si>
  <si>
    <t>SA - STUDENT ACHIEVEMENT - GOAL 1</t>
  </si>
  <si>
    <t>TOTAL SA</t>
  </si>
  <si>
    <t>STATE STANDARDS (2), STUDENT ACHIEVEMENT (4), COURSE ACCESS (7) and OTHER STUDENT OUTCOMES (8)</t>
  </si>
  <si>
    <t>1.1 - College and Career Readiness and A-G Supports (Non-Contributing)</t>
  </si>
  <si>
    <t>Mathematics, Engineering, Science Achievement (MESA) Opportunities (SA 11.7/1.25)</t>
  </si>
  <si>
    <t>0101</t>
  </si>
  <si>
    <t>1.25</t>
  </si>
  <si>
    <t>7</t>
  </si>
  <si>
    <t>JROTC Teacher (SA 11.10/1.28)</t>
  </si>
  <si>
    <t>1.28</t>
  </si>
  <si>
    <t>1.2 - Additional and Supplemental: College and Career Readiness and A-G Supports (Contributing)</t>
  </si>
  <si>
    <t>Career Center Development &amp; Resources (SA 11.3/1.22)</t>
  </si>
  <si>
    <t>0102</t>
  </si>
  <si>
    <t>1.22</t>
  </si>
  <si>
    <t>3</t>
  </si>
  <si>
    <t>High School Student Data Support (SA 11.5/1.23)</t>
  </si>
  <si>
    <t>1.23</t>
  </si>
  <si>
    <t>Career Technical Education Pathways Access (SA 11.6/1.24)</t>
  </si>
  <si>
    <t>1.24</t>
  </si>
  <si>
    <t>Public Safety Academy Program Leadership (SA 11.8/1.26)</t>
  </si>
  <si>
    <t>1.26</t>
  </si>
  <si>
    <t>Engineering Career Pathways and STEM Resources and Support (SA 11.9/1.27)</t>
  </si>
  <si>
    <t>1.27</t>
  </si>
  <si>
    <t>College Entrance Exams Administration and Access (SA 11.11/1.29)</t>
  </si>
  <si>
    <t>1.29</t>
  </si>
  <si>
    <t>Partner with Greater Stockton Chamber of Commerce Business Education Alliance (SA 11.13/1.30)</t>
  </si>
  <si>
    <t>1.30</t>
  </si>
  <si>
    <t>Career Exploration Software and Programs (SA 11.14/1.31)</t>
  </si>
  <si>
    <t>1.31</t>
  </si>
  <si>
    <t>College and Career Readiness Student Services &amp; Support (SA 11.15/1.32)</t>
  </si>
  <si>
    <t>1.32</t>
  </si>
  <si>
    <t>In-School College Entrance Exam Administration for 11th and 12th grade students (SA 11.16/1.33)</t>
  </si>
  <si>
    <t>1.33</t>
  </si>
  <si>
    <t>Increased Student Access to A-G High School Courses (SA 12.2/1.34)</t>
  </si>
  <si>
    <t>1.34</t>
  </si>
  <si>
    <t>Student Support Technicians (NEW - 15% Add-On)</t>
  </si>
  <si>
    <t>1.3 - Additional and Supplemental: English Language Development and Primary Language Support (Contributing)</t>
  </si>
  <si>
    <t>Bilingual instructional program support for K-12th grade students (SA 3.1/1.3)</t>
  </si>
  <si>
    <t>0103</t>
  </si>
  <si>
    <t>1.03</t>
  </si>
  <si>
    <t>1</t>
  </si>
  <si>
    <t>English Language Development Coaching &amp; Instructional Support (SA 3.2/1.4)</t>
  </si>
  <si>
    <t>1.04</t>
  </si>
  <si>
    <t>English Language Proficiency Professional Development (SA 3.3/1.5)</t>
  </si>
  <si>
    <t>1.05</t>
  </si>
  <si>
    <t>District Departmental Budgets Focused On Increased Student Achievement - LDO (SA 10.2/1.20)</t>
  </si>
  <si>
    <t>1.20</t>
  </si>
  <si>
    <t>1.4 - Educator Development and Implementation of Professional Learning Communities (Non-Contributing)</t>
  </si>
  <si>
    <t>Professional Learning Community Implementation, Professional Learning, &amp; Curriculum Implementation (SA 6.1/1.8)</t>
  </si>
  <si>
    <t>0104</t>
  </si>
  <si>
    <t>1.08</t>
  </si>
  <si>
    <t>1.5 - Additional and Supplemental: Educator Development and Implementation of Professional Learning Communities (Contributing)</t>
  </si>
  <si>
    <t>Teacher Collaboration, Professional Development, &amp; Academic Support (SA 5.1/1.6)</t>
  </si>
  <si>
    <t>0105</t>
  </si>
  <si>
    <t>1.06</t>
  </si>
  <si>
    <t>School Site Administrators Leadership Professional Learning Development (SA 5.2/1.7)</t>
  </si>
  <si>
    <t>1.07</t>
  </si>
  <si>
    <t>District Departmental Budgets Focused On Increased Student Achievement - Research (SA 10.2/1.20)</t>
  </si>
  <si>
    <t>1.6 - Targeted Learning Recovery and Acceleration of Instructional and Intervention Supports (Non-Contributing)</t>
  </si>
  <si>
    <t>Special Education Inclusion Specialists (SA 7.7/1.11)</t>
  </si>
  <si>
    <t>0106</t>
  </si>
  <si>
    <t>1.11</t>
  </si>
  <si>
    <t>Advancement via Individual Determination Program (AVID) (SA 11.2/1.21)</t>
  </si>
  <si>
    <t>1.21</t>
  </si>
  <si>
    <t>Student Access To Ebooks (SA 13.2/1.36)</t>
  </si>
  <si>
    <t>1.36</t>
  </si>
  <si>
    <t>1.7 - Additional and Supplemental: Targeted Learning Recovery and Acceleration of Instructional and Intervention Supports (Contributing)</t>
  </si>
  <si>
    <t>Learning and High School Credit Recovery Support &amp; Programs (SA 7.3/1.9)</t>
  </si>
  <si>
    <t>0107</t>
  </si>
  <si>
    <t>1.09</t>
  </si>
  <si>
    <t>IEP and Student Data Meetings (SA 7.6/1.10)</t>
  </si>
  <si>
    <t>1.10</t>
  </si>
  <si>
    <t>Reading Intervention Support (SA 7.8/1.12)</t>
  </si>
  <si>
    <t>1.12</t>
  </si>
  <si>
    <t>Instructional Interventions &amp; Academic Supports For Students At Small High Schools (SA 7.11/1.14)</t>
  </si>
  <si>
    <t>1.14</t>
  </si>
  <si>
    <t>School Site Budget Allocations (SA 10.1/1.19)</t>
  </si>
  <si>
    <t>1.19</t>
  </si>
  <si>
    <t>District Departmental Budgets Focused On Increased Student Achievement - State and Federal (SA 10.2/1.20)</t>
  </si>
  <si>
    <t>District Library and Literacy Support (SA 13.1/1.35)</t>
  </si>
  <si>
    <t>1.35</t>
  </si>
  <si>
    <t>Bilingual Assistants (New  - 15% Add-On)</t>
  </si>
  <si>
    <t>Library Media Assistants - High Schools (New - 15% Add-On)</t>
  </si>
  <si>
    <t>Math Intervention Support (New - 22-23 SY)</t>
  </si>
  <si>
    <t>Special Education Inclusion Teachers (New - 15% Add On S&amp;C)</t>
  </si>
  <si>
    <t>.</t>
  </si>
  <si>
    <t>1.8 - Additional and Supplemental: Expanded Learning Opportunities: Extended Day/Year Programs (Contributing)</t>
  </si>
  <si>
    <t>Afterschool tutoring, homework help, and enrichment (SA 9.1/1.17)</t>
  </si>
  <si>
    <t>1.17</t>
  </si>
  <si>
    <t>Expanded Afterschool Program Offerings (SA 9.4/1.18)</t>
  </si>
  <si>
    <t>1.18</t>
  </si>
  <si>
    <t>Outdoor Education/Elementary Science Camp (New - 22-23 SY)</t>
  </si>
  <si>
    <t>1.9 - Additional and Supplemental: Educational Technology, Software, &amp; Technical Support (Contributing)</t>
  </si>
  <si>
    <t>Student Technology For Learning &amp; Connectivity (SA 1.1/1.1)</t>
  </si>
  <si>
    <t>0109</t>
  </si>
  <si>
    <t>1.01</t>
  </si>
  <si>
    <t>Laptop Learning Monitoring Software (SA 1.2/1.2)</t>
  </si>
  <si>
    <t>1.02</t>
  </si>
  <si>
    <t>Google Monitoring System (ELE 3.1/2.10)</t>
  </si>
  <si>
    <t>2.10</t>
  </si>
  <si>
    <t>ELE - EQUITABLE LEARNING ENVIRONMENTS - GOAL 2</t>
  </si>
  <si>
    <t>TOTAL LE</t>
  </si>
  <si>
    <t>BASIC SERVICES (1) and SCHOOL CLIMATE (6)</t>
  </si>
  <si>
    <t>2.1 - Additional and Supplemental: Educational Equity, Diversity, and Inclusion (Contributing)</t>
  </si>
  <si>
    <t>Educational Equity Director &amp; Office Asst ($13K Supplies) (ELE 2.9/2.8)</t>
  </si>
  <si>
    <t>0201</t>
  </si>
  <si>
    <t>2.08</t>
  </si>
  <si>
    <t>LGBTQ+ Equity and Inclusion Workshops and Training (ELE 10.4/2.26)</t>
  </si>
  <si>
    <t>2.26</t>
  </si>
  <si>
    <t>Native American Outreach and Support (MP 7.6/3.18)</t>
  </si>
  <si>
    <t>3.18</t>
  </si>
  <si>
    <t>2.2 - Additional and Supplemental: Multi-Tiered System of Supports (Contributing)</t>
  </si>
  <si>
    <t>Positive Behavior Interventions and Support (PBIS) (ELE 2.3/2.4)</t>
  </si>
  <si>
    <t>0202</t>
  </si>
  <si>
    <t>2.04</t>
  </si>
  <si>
    <t>Student Assistance Program support (SAP) (ELE 2.6/2.5)</t>
  </si>
  <si>
    <t>2.05</t>
  </si>
  <si>
    <t>Behavior Intervention Team Services (ELE 2.7/2.6)</t>
  </si>
  <si>
    <t>2.06</t>
  </si>
  <si>
    <t>2.3 - Development of High-Quality Teachers, Substitutes, Administrators, and Staff (Non-Contributing)</t>
  </si>
  <si>
    <t>New Teacher Training (ELE 2.2/2.3)</t>
  </si>
  <si>
    <t>0203</t>
  </si>
  <si>
    <t>2.03</t>
  </si>
  <si>
    <t>Instructional Coaches (SA 8.1/1.15)</t>
  </si>
  <si>
    <t>1.15</t>
  </si>
  <si>
    <t>2.4 - Additional and Supplemental: Development of High-Quality Teachers, Substitutes, Administrators, and Staff (Contributing)</t>
  </si>
  <si>
    <t>New Teacher Support (SA 7.9/1.13)</t>
  </si>
  <si>
    <t>0204</t>
  </si>
  <si>
    <t>1.13</t>
  </si>
  <si>
    <t>New Teacher Support (SA 8.3/1.16)</t>
  </si>
  <si>
    <t>1.16</t>
  </si>
  <si>
    <t>2.5 - Transitional Student &amp; Family Support (Non-Contributing)</t>
  </si>
  <si>
    <t>Social Services For Families In Transition (ELE 7.3/2.16)</t>
  </si>
  <si>
    <t>0205</t>
  </si>
  <si>
    <t>2.16</t>
  </si>
  <si>
    <t>2.6 - Additional and Supplemental: Transitional Student &amp; Family Support (Contributing)</t>
  </si>
  <si>
    <t>Social Services For Foster Youth Students (ELE 7.2/2.15)</t>
  </si>
  <si>
    <t>0206</t>
  </si>
  <si>
    <t>2.15</t>
  </si>
  <si>
    <t>Central Enrollment Direct Services To Families (MP 7.5/3.17)</t>
  </si>
  <si>
    <t>3.17</t>
  </si>
  <si>
    <t>2.7 - Additional and Supplemental: Building Strong Schools &amp; Healthy Communities (Contributing)</t>
  </si>
  <si>
    <t>District Departmental Budgets Focused On Increased Student Achievement - CWA (SA 10.2/1.20)</t>
  </si>
  <si>
    <t>0207</t>
  </si>
  <si>
    <t>Subacute Healthcare Services Response &amp; Management (ELE 8.1/2.17)</t>
  </si>
  <si>
    <t>2.17</t>
  </si>
  <si>
    <t>Healthy Start Coordinators (ELE 8.2/2.18)</t>
  </si>
  <si>
    <t>2.18</t>
  </si>
  <si>
    <t>Community Resource Liaison Program Coordinator (ELE 8.3/2.19)</t>
  </si>
  <si>
    <t>2.19</t>
  </si>
  <si>
    <t>Wellness Centers Staffing Support (ELE 8.6/2.20)</t>
  </si>
  <si>
    <t>2.20</t>
  </si>
  <si>
    <t>Mental Health Clinicians (ELE 9.15/2.21)</t>
  </si>
  <si>
    <t>2.21</t>
  </si>
  <si>
    <t>Trauma-Informed Care and Responsive Schools (ELE 9.16/2.22)</t>
  </si>
  <si>
    <t>2.22</t>
  </si>
  <si>
    <t>School Counselors (ELE 10.1/2.24)</t>
  </si>
  <si>
    <t>2.24</t>
  </si>
  <si>
    <t>Restorative Practices and Responsive Schools (ELE 10.3/2.25)</t>
  </si>
  <si>
    <t>2.25</t>
  </si>
  <si>
    <t>School Psychologists (New - 15% Add On S&amp;C)</t>
  </si>
  <si>
    <t>2.8 - Additional and Supplemental: Extended Learning Time, Educator, and Staffing Supports (Contributing)</t>
  </si>
  <si>
    <t>Assistant Principal Restoration At TK-8th Grade School Sites (ELE 2.8/2.7)</t>
  </si>
  <si>
    <t>0208</t>
  </si>
  <si>
    <t>2.07</t>
  </si>
  <si>
    <t>Over Formula Position School Site Support (ELE 2.14/2.9)</t>
  </si>
  <si>
    <t>2.09</t>
  </si>
  <si>
    <t>Instructional Minutes Above &amp; Beyond The State Minimum For Extended Student Learning (ELE 6.2/2.13)</t>
  </si>
  <si>
    <t>2.13</t>
  </si>
  <si>
    <t>2.9 - Basic Instructional and Teacher Staffing (Non-Contributing)</t>
  </si>
  <si>
    <t>Instruction and Teacher Staffing (ELE 6.1/2.12)</t>
  </si>
  <si>
    <t>0209</t>
  </si>
  <si>
    <t>2.12</t>
  </si>
  <si>
    <t>Staffing Support Resources For High Needs Specialized Positions (ELE 2.1/2.2)</t>
  </si>
  <si>
    <t>2.02</t>
  </si>
  <si>
    <t>2.10 - Additional and Supplemental: Technology Infrastructure and Support (Contributing)</t>
  </si>
  <si>
    <t>Information Services Technology Support and Resources (ELE 1.2/2.1)</t>
  </si>
  <si>
    <t>0210</t>
  </si>
  <si>
    <t>2.01</t>
  </si>
  <si>
    <t>2.11 - Facility &amp; Campus Safety Support (Non-Contributing)</t>
  </si>
  <si>
    <t>Facilities in Good Repair - Maintenance Costs (ELE 5.3/2.11)</t>
  </si>
  <si>
    <t>0211</t>
  </si>
  <si>
    <t>2.11</t>
  </si>
  <si>
    <t>2.12 - Additional and Supplemetnal: Facility &amp; Campus Safety Support (Contributing)</t>
  </si>
  <si>
    <t>Custodial Staff (New - 15% Add On S&amp;C)</t>
  </si>
  <si>
    <t>0212</t>
  </si>
  <si>
    <t>MP - MEANINGFUL PARTNERSHIPS - GOAL 3</t>
  </si>
  <si>
    <t>TOTAL MP</t>
  </si>
  <si>
    <t>PARENTAL INVOVEMENT (3) and STUDENT ENGAGEMENT (5)</t>
  </si>
  <si>
    <t>3.1 - Family and Community Communication, Empowerment, and  Engagement (Non-Contributing)</t>
  </si>
  <si>
    <t>Adult Literacy and English As A Second Language Training For Families (MP 1.3/3.2)</t>
  </si>
  <si>
    <t>0301</t>
  </si>
  <si>
    <t>3.02</t>
  </si>
  <si>
    <t>3.2 - Additional and Supplemental: Family and Community Communication, Empowerment, and  Engagement (Contributing)</t>
  </si>
  <si>
    <t>Family and Community Staffing Support (ELE 7.1/2.14)</t>
  </si>
  <si>
    <t>0302</t>
  </si>
  <si>
    <t>2.14</t>
  </si>
  <si>
    <t>Parent, Guardian, and Family Workshops, Training, and Events (MP 1.1/3.1)</t>
  </si>
  <si>
    <t>3.01</t>
  </si>
  <si>
    <t>District Communication and Stakeholder Engagement (MP 2.1/3.3)</t>
  </si>
  <si>
    <t>3.03</t>
  </si>
  <si>
    <t>Translator and Interpreter Specialist Services (MP 2.2/3.4)</t>
  </si>
  <si>
    <t>3.04</t>
  </si>
  <si>
    <t>Family Resource Center Hubs (NEW - 22/23)</t>
  </si>
  <si>
    <t>3.3 - Student Attendance and Accountability (Non-Contributing)</t>
  </si>
  <si>
    <t>Universal Transportation Access For SUSD Students (MP 7.4/3.16)</t>
  </si>
  <si>
    <t>0303</t>
  </si>
  <si>
    <t>3.16</t>
  </si>
  <si>
    <t>3.4 - Additional and Supplemental: Student Attendance and Accountability (Contributing)</t>
  </si>
  <si>
    <t>Student Attendance Accountability &amp; Family Outreach (MP 7.1/3.14)</t>
  </si>
  <si>
    <t>0304</t>
  </si>
  <si>
    <t>3.14</t>
  </si>
  <si>
    <t>Truancy Intervention and Outreach (MP 7.2/3.15)</t>
  </si>
  <si>
    <t>3.15</t>
  </si>
  <si>
    <t xml:space="preserve">                                                      </t>
  </si>
  <si>
    <t>3.5 - Additional and Supplemental: Student Engagement and Leadership Opportunities (Contributing)</t>
  </si>
  <si>
    <t>Student Clubs and Career Job-Skill Based Experiences (MP 4.1/3.5)</t>
  </si>
  <si>
    <t>0305</t>
  </si>
  <si>
    <t>3.05</t>
  </si>
  <si>
    <t>Student Leadership &amp; Engagement Experiences (MP 4.2/3.6)</t>
  </si>
  <si>
    <t>3.06</t>
  </si>
  <si>
    <t>Student Clubs &amp; Activities (Pentathlon) (MP 4.4/3.7)</t>
  </si>
  <si>
    <t>3.07</t>
  </si>
  <si>
    <t>Student Access To Leadership Conferences (MP 4.8/3.9)</t>
  </si>
  <si>
    <t>3.09</t>
  </si>
  <si>
    <t>3.6 - Additional and Supplemental: Youth Engagement and Athletic Programs (Contributing)</t>
  </si>
  <si>
    <t>Student Athletic Programs (MP 4.5/3.8)</t>
  </si>
  <si>
    <t>0306</t>
  </si>
  <si>
    <t>3.08</t>
  </si>
  <si>
    <t>Student Clubs &amp; Activities (Kennedy Games) (MP 4.4/3.7)</t>
  </si>
  <si>
    <t>3.7 - Additional and Supplemental: Visual and Performing Arts (VAPA) Activities (Contributing)</t>
  </si>
  <si>
    <t>Visual and Performing Arts Activities and Resources (MP 6.1/3.10)</t>
  </si>
  <si>
    <t>0307</t>
  </si>
  <si>
    <t>3.10</t>
  </si>
  <si>
    <t>Music Coordinator (MP 6.2/3.11)</t>
  </si>
  <si>
    <t>3.11</t>
  </si>
  <si>
    <t>Arts Resource Teachers (MP 6.3/3.12)</t>
  </si>
  <si>
    <t>3.12</t>
  </si>
  <si>
    <t>TK-8th Grade Music Teachers (MP 6.4/3.13)</t>
  </si>
  <si>
    <t>3.13</t>
  </si>
  <si>
    <t>DA - DIFFERENTIATED ASSISTANCE - SPECIAL EDUCATION - GOAL 4</t>
  </si>
  <si>
    <t>TOTAL DA</t>
  </si>
  <si>
    <t>BASIC SERVICES (1), STATE STANDARDS (2), STUDENT ACHIEVEMENT (4), COURSE ACCESS (7), SCHOOL CLIMATE (6), and OTHER STUDENT OUTCOMES (8)</t>
  </si>
  <si>
    <t>4.1 - Educator Development and Implementation of Professional Learning Communities (Non-Contributing)</t>
  </si>
  <si>
    <t>Universal Design for Learning and UTK-Preschool UDL</t>
  </si>
  <si>
    <t>4.2 - College and Career Readiness and A-G Supports (Non-Contributing)</t>
  </si>
  <si>
    <t>Transcript Reviews and Course Placement</t>
  </si>
  <si>
    <t>0402</t>
  </si>
  <si>
    <t>4.3 - Targeted Learning Recovery and Acceleration of Instructional and Intervention Supports (Non-Contributing)</t>
  </si>
  <si>
    <t>Data Analysis</t>
  </si>
  <si>
    <t>Cabinet Level Point of Contact</t>
  </si>
  <si>
    <t>Implementation and Progress Reporting Point of Contact</t>
  </si>
  <si>
    <t>Total FTE</t>
  </si>
  <si>
    <t>Susana Ramirez</t>
  </si>
  <si>
    <t>Nathan Haley</t>
  </si>
  <si>
    <t>Francine Baird</t>
  </si>
  <si>
    <t>Nicolette Gonzaba</t>
  </si>
  <si>
    <t>Maryann Santella</t>
  </si>
  <si>
    <t>Jason Murphy</t>
  </si>
  <si>
    <t>Vincent Hernandez</t>
  </si>
  <si>
    <t>Israel Gonzalez</t>
  </si>
  <si>
    <t>Youlin Aissa</t>
  </si>
  <si>
    <t>Brian Biedermann/Tiffany Ashworth</t>
  </si>
  <si>
    <t>Mary Ann Pafford/Tiffany Ashworth</t>
  </si>
  <si>
    <t>Lena Moua</t>
  </si>
  <si>
    <t>Mary Ann Pafford</t>
  </si>
  <si>
    <t>0</t>
  </si>
  <si>
    <t>Tiffany Ashworth</t>
  </si>
  <si>
    <t>Mary Rodgers</t>
  </si>
  <si>
    <t>Marcus Sherman</t>
  </si>
  <si>
    <t>Joann Juarez</t>
  </si>
  <si>
    <t>Avtar Gill</t>
  </si>
  <si>
    <t>Wayne Stagnaro</t>
  </si>
  <si>
    <t>Jennifer Robles</t>
  </si>
  <si>
    <t>Deanna Kobayashi</t>
  </si>
  <si>
    <t>Karen Coleman</t>
  </si>
  <si>
    <t>Lori Goldstein</t>
  </si>
  <si>
    <t>Youlin Aissa / Tiffany Ashworth</t>
  </si>
  <si>
    <t>Teresa Oden</t>
  </si>
  <si>
    <t>Traci Miller</t>
  </si>
  <si>
    <t>Tara Kosel</t>
  </si>
  <si>
    <t>0404</t>
  </si>
  <si>
    <t>Wendy DeSimone</t>
  </si>
  <si>
    <t>Joshaua Thom</t>
  </si>
  <si>
    <t>Sherry Jackson</t>
  </si>
  <si>
    <t>Armando Orozco / Marcus Omlin</t>
  </si>
  <si>
    <t>Armando Orozco</t>
  </si>
  <si>
    <t>Jeff Dundas</t>
  </si>
  <si>
    <t>Motecuzoma Sanchez</t>
  </si>
  <si>
    <t>Melinda Meza</t>
  </si>
  <si>
    <t>Jillian Glende</t>
  </si>
  <si>
    <t>Brian Biedermann</t>
  </si>
  <si>
    <t>Cynthia Wildman</t>
  </si>
  <si>
    <t>Vince Hernandez</t>
  </si>
  <si>
    <t>MULTI: 10002, 10011, 10029, 10035, 10104, 10106, 11902, 12502, 12802, 12830, 12841, 12932, 15060, 23001, 23020, 23030, 24017, 24022, 24046, 24052, 24054, 24087, 30136, 33030, 37111, 37112</t>
  </si>
  <si>
    <t>Total Estimated Actual</t>
  </si>
  <si>
    <t>Total Upspent Balance LCAP</t>
  </si>
  <si>
    <t>21-22 Action Description</t>
  </si>
  <si>
    <t>23-24 Action Description</t>
  </si>
  <si>
    <t>21-22 Total LCAP Budgeted</t>
  </si>
  <si>
    <t xml:space="preserve">21-22 Total Estimated Acual </t>
  </si>
  <si>
    <t>22-23 Total LCAP Budgeted                  (Do Not Edit Column)</t>
  </si>
  <si>
    <t>22-23 Total Estimated Actual                                 (Do Not Edit Column)</t>
  </si>
  <si>
    <t>22-23 Total Unspent Balance LCAP                                                   (Do Not Edit Column)</t>
  </si>
  <si>
    <t>Mathematics, Engineering, Science Achievement (MESA) program opportunities for students to take part in these collaborative learning experiences.</t>
  </si>
  <si>
    <t>JROTC Teacher</t>
  </si>
  <si>
    <t>Resources and services provided to students on high school campuses at the career centers supported by guidance technicians focused on increasing or improving student academic achievement.</t>
  </si>
  <si>
    <t>Student data technician support at the high schools in support of family outreach and student schedule and data support focused on increasing or improving student academic achievement.</t>
  </si>
  <si>
    <t>Increased unduplicated student access to Career Technical Education (CTE) pathways focused on increasing student's meeting college and career readiness upon graduation from high school.</t>
  </si>
  <si>
    <t>Public Safety Academy site administrator support to ensure leadership guidance to the program focused on increasing or improving student academic achievement.</t>
  </si>
  <si>
    <t>Engineering Career Pathways, STEM programs, project resources, professional development, STEM coordinator, and increased or improved access to hands-on learning experiences for students.</t>
  </si>
  <si>
    <t>College entrance exams support and access provided to 8th grade and high school students to increase or improve academic student achievement.</t>
  </si>
  <si>
    <t>Partner with Greater Stockton Chamber of Commerce Business
Education Alliance</t>
  </si>
  <si>
    <t>Career exploration software and program lessons taught by counselors and teachers providing opportunities for students to learn about careers, professions, job-based skills, and student interests related to various career pathways focused on increasing or improving student academic achievement.</t>
  </si>
  <si>
    <t>College and career resources, training and professional development, events, field trips, Ontrack Spotlight report to all high school students, and a Student Assistance Program chair to help lead and facilitate district wide college and career focused services for students, families, and staff focused on increasing or improving student academic achievement.</t>
  </si>
  <si>
    <t>In-school college entrance exam administration for 11th and 12th graders to cover the cost and provide increased or improved access to college entrance exam opportunities.</t>
  </si>
  <si>
    <t>Increased teacher support at the comprehensive high schools to improve student access and opportunity to A-G courses.</t>
  </si>
  <si>
    <t>* Student Support Technicians are an intermediary supplemental support at the school site that assists with ensuring the school site is functional, efficient, inclusive, and receptive to meet the needs of unduplicated pupils. Based on the district’s total unduplicated pupil data, 38 School Support Technicians (Elementary) and 8 School Support Technicians (High Schools) are targeted to school sites with 55% or greater unduplicated pupils.</t>
  </si>
  <si>
    <t>Bilingual assistant in-class learning support for English learners focused on increasing or improving the supplemental learning support provided within the classroom, during lessons and one-on-one/small group setting.</t>
  </si>
  <si>
    <t>To provide increased or improved professional development and learning supports provided by Language Development Office Instructional Coaches focused on supporting teachers providing high quality designated and integrated English Language Development.</t>
  </si>
  <si>
    <t>Professional development and implementation of the English learner master plan and Instructional Specialist direct support services, leading to increased or improved services student achievement.</t>
  </si>
  <si>
    <t>Departmental budget allocations to the Language Development Office, Research and Assessment Office, State and Federal Office, and the Child Welfare and Attendance Office will focus on supporting unduplicated student group needs related to increased academic budget allocations are intended to be principally directed towards, and effective in, meeting the academic achievement and social-emotional development needs of foster youth, English learners, and low-income students. Examples include Child Welfare and Attendance counselors extended outreach and coordination of social-emotional supports for students; Language Development Office purchase of supplemental bilingual books and reference materials for students/parents and translation services; State and Federal Department support professional development (AVID and AtoZ), teacher additional compensation for tutoring; Research for staffing to analyze and prepare assessment data.</t>
  </si>
  <si>
    <t>Training and professional development focused on high quality first instruction, data team cycles, common formative assessments, curriculum implementation, and professional learning communities focused on increasing or improving student academic achievement.</t>
  </si>
  <si>
    <t>Teacher collaboration time, professional development, academic conferences, resource days, and family learning events focused on increasing or improving student academic achievement.</t>
  </si>
  <si>
    <t>Professional development for school site administrators focused on instructional leadership and professional learning communities focused on increasing or improving student academic achievement.</t>
  </si>
  <si>
    <t>Departmental budget allocations to the Language Development Office, Research and Assessment Office, State and Federal Office, and the Child Welfare and Attendance Office will focus on supporting unduplicated student group needs related to increased academic achievement. Services, resources, and/or staff funded by LCFF budget allocations are intended to be principally directed towards, and effective in, meeting the academic achievement and social-emotional development needs of foster youth, English learners, and  ow-income students. Examples include Child Welfare and Attendance counselors extended outreach and coordination of social-emotional supports for students; Language Development Office purchase of supplemental bilingual books and reference materials for students/parents and translation services; State and Federal Department support professional development (AVID and AtoZ), teacher additional compensation for tutoring; Research for staffing to analyze and prepare assessment data.</t>
  </si>
  <si>
    <t>Special Education Inclusion Specialists support for high priority students who are identified as having special education needs to support student access to the least restrictive learning environment, differentiated instructional experiences, and supplemental academic resources.</t>
  </si>
  <si>
    <t>AVID program implementation and support for student groups focused on college, career, and community readiness skills aligned with academic growth and social-emotional development.</t>
  </si>
  <si>
    <t>Online eBook library that allows students to access high interest and multi-lingual books using their laptops or other technology devices without any late fees focused on increasing or improving student academic achievement.</t>
  </si>
  <si>
    <t>Credit recovery and drop out recovery programs, learning recovery and acceleration instructional support focused on increasing or improving student academic achievement.</t>
  </si>
  <si>
    <t>Staffing and resources provided to ensure that IEP, 504, SST and student data meetings are supported at times that families are able to attend at times before and beyond school instructional days and that all needed staff are present at these meetings focused on addressing and implementing strategic plans of high priority students.</t>
  </si>
  <si>
    <t>Reading Intervention support using Read 180 to increase and improve student reading proficiency for our high priority students who have special education needs.</t>
  </si>
  <si>
    <t xml:space="preserve">Instructional interventions and supports for high priority student groups with special education needs provided with resource educational support by Resource Teachers at the small high schools to increase and improve high priority student access to least restrictive learning environments. </t>
  </si>
  <si>
    <t xml:space="preserve">Services, resources, and staff funded by LCFF school site allocations are intended to be principally directed towards, and effective in, meeting the academic achievement and social-emotional development needs of foster youth, English learners, and low-income students. The LCFF school site budget allocations are focused on increasing and/or improving services to unduplicated student groups with the highest needs beyond what is provided to all students. School sites need to ensure their School Plan for Student Achievement (SPSA) is aligned to the SUSD’s LCAP goals and contributing actions clearly stating services aligned with measurable goals and contributing actions that demonstrate equitable ways in which we are meeting the needs of our students with the highest needs (foster youth, English learners, low- income). Examples of increased services are counselors, assistant principals, parent liaisons, library media assists, tutors, after school enrichment programs, family engagement workshops, communication outreach, and supplementary learning supplies. </t>
  </si>
  <si>
    <t>Departmental budget allocations to the Language Development Office, Research and Assessment Office, State and Federal Office, and the Child Welfare and Attendance Office will focus on supporting unduplicated student group needs related to increased academic achievement. Services, resources, and/or staff funded by LCFF budget allocations are intended to be principally directed towards, and effective in, meeting the academic achievement and social-emotional development needs of foster youth, English learners, and low-income students. Examples include Child Welfare and Attendance counselors extended outreach and coordination of social-emotional supports for students; Language Development Office purchase of supplemental bilingual books and reference materials for students/parents and translation services; State and Federal Department support professional development (AVID and AtoZ), teacher additional compensation for tutoring; Research for staffing to analyze and prepare assessment data.</t>
  </si>
  <si>
    <t>District wide library support and literacy access support provided by a district librarian and library media assist focused on increasing or improving student academic achievement.</t>
  </si>
  <si>
    <t>* Bilingual Assistants assist school sites within the classroom to reinforce learning concepts through preparation of instructional materials, instructional activities, and progress monitoring of student to increase and improve access of educational achievement for unduplicated pupils under the direction of the classroom teacher/specialist. Based on the district’s total unduplicated pupil data and English Learner data, 20 Bilingual Assistants (Elementary) and 4 Bilingual Assistants (High Schools) are targeted to school sites with 25% or greater unduplicated English Learners.</t>
  </si>
  <si>
    <t xml:space="preserve">* Library Media Assistants support student literacy by oversight of the school library through the acquisition, circulation, maintenance and distribution of library books and instructional materials at an assigned school site; assist students and teachers in the selection, location and use of library materials and equipment. Maintaining library functionality at the school site increases and improves unduplicated pupils access to current and culturally relevant reading materials that support increased and improved student achievement. Based on the district’s total unduplicated pupil data, 8 Library Media Assistants (High Schools) are targeted to high school sites with 55% or greater unduplicated pupils. </t>
  </si>
  <si>
    <t>* Inclusion Teacher will aide in the transition, planning and development of increasing the opportunities to diploma pathways afforded to SDC students. An increase of additional support to students with disabilities that are also identified as unduplicated pupils are being provided with effective access to high quality rigorous first instruction and that teachers are supported in their professional learning on site in addressing the academic and social-emotional needs of students with disabilities. The increase of one Inclusion Teacher will be split to ensure each comprehensive school site received an additional .25 FTE of support to high schools with 55% or greater unduplicated students with disabilities.</t>
  </si>
  <si>
    <t xml:space="preserve">Afterschool learning opportunities offered to students focused on providing tutoring, homework help, and enrichment activities for unduplicated student groups focused on increasing or improving student academic achievement. </t>
  </si>
  <si>
    <t>Expanded afterschool offerings supported by site facilitators and resource budgets to increase and improve access to after school opportunities and program offerings focused on increasing or improving student academic achievement.</t>
  </si>
  <si>
    <t>These additional services that are based on identified need are intended to increase and/or improve unduplicated pupils and student groups that have been underperforming within two or more state priorities access to academic experiences and activities beyond the ,regular instructional day (before, after, intercession) and school year (summer). The expanded learning activities will be inclusive of tutoring (reading, writing, math, etc.)/homework help, enrichment activities, outdoor education/elementary science camps, academic competitions, and athletics which will promote increased engagement, social emotional growth, accelerated learning, interventions, and support to students. A deeper focus and investment on resources and supports focusing on student groups that have been underperforming within two or more state priorities.</t>
  </si>
  <si>
    <t>Student laptops, laptop carts, and Wifi-hotspots to increase and improve student access to learning resources and instructional technology.</t>
  </si>
  <si>
    <t>Laptop monitoring software for teachers that allows teachers to remotely monitor student learning on laptops and share screens focusing on increasing and improving student achievement.</t>
  </si>
  <si>
    <t>Computer software to monitor student computer usage, provide Instructional Support student alerts of unsafe online behavior, and ensure that the system is helping students to use their instructional technology in digital civically responsible ways.</t>
  </si>
  <si>
    <t xml:space="preserve">Educational Equity Director &amp; Office Asst ($13K Supplies) - To increase or improves services and supports through the guidance to site leaders to improve student achievement; close achievement gaps among student subgroups; remove barriers; and create equitable educational opportunities for students through the leadership. </t>
  </si>
  <si>
    <t>Provide training, workshops, and resources in support of increasing and improving equity and inclusion for all LGBTQ+ students.</t>
  </si>
  <si>
    <t>Native American and Indigenous Center provides cultural, academic, social-emotional, career and college, community, family, and many other forms of direct services and support to the Native American and Indigenous students and families within the district, leading to increased or improved services.</t>
  </si>
  <si>
    <t>District translator and interpreter specialists that provide increased or improved services to ensure documents, meetings, outreach, and communication can be accessed by families and families are provided with inclusive multi-lingual services.</t>
  </si>
  <si>
    <t>Providing students access to career and technical student organizations, student activity clubs, and job-skill based experiences providing student groups with increased and improved educational experiences.</t>
  </si>
  <si>
    <t>Peer Leaders Uniting Students (PLUS) program experience provide increased or improved access to students focused on leadership skills, student engagement, positive and inclusive school culture and climate, providing students with opportunities to have their voices heard and be the drivers of developing academic learning environments that are inclusive and equitable focused on developing student leadership skills.</t>
  </si>
  <si>
    <t>The district webmaster, Blackboard, Qualtrics, and communication outreach and engagement events supported in providing increased or improved ongoing communication, outreach, and engagement with all stakeholders.</t>
  </si>
  <si>
    <t>Instructional coaches supporting school sites providing high quality first instruction, English Language Development, and implementation of state-standards aligned curriculum focused on increasing or improving student academic achievement.</t>
  </si>
  <si>
    <t>Support to beginning teachers with teacher induction and mentoring program.</t>
  </si>
  <si>
    <t>Staff to support new teachers and implementation and organization of resources and services provided to new teachers focused on increasing or improving student academic achievement.</t>
  </si>
  <si>
    <t>Social service case managers, social worker assist, and resources to provide increased or improved direct services for families in transition, unaccompanied youth, unsheltered and homeless youth.</t>
  </si>
  <si>
    <t>Social services case managers, community assists, and resources to provide increased or improved direct services to youth in foster care.</t>
  </si>
  <si>
    <t>Central enrollment direct services to families and support focused on increasing and improving access to families in transition, foster youth, and second language services integrated into the enrollment experience. Staff and resources are provided focused on providing increase or improved enrollment experience for students and families that focus on connecting students and families with the school that best fits the academic and social-emotional needs of the student or students being enrolled.</t>
  </si>
  <si>
    <t>To provide increased or improved services through direct health services provided to students and families across the district by licensed vocational nurses and health care assists to address the various health and well-being needs of students and families.</t>
  </si>
  <si>
    <t>Healthy Start Coordinators manage and facilitate the resources and services provided at the Wellness Centers at all of the comprehensive high schools ensuring student and family increased or improved access to health and wellness resources and direct services.</t>
  </si>
  <si>
    <t>Community Resource Liaison Program Coordinator supports and manages the partnerships with outside agencies and the health services provided within the District and services provided within the Wellness Centers to increase and improve student and family access to health care needs and direct services.</t>
  </si>
  <si>
    <t>Nurses to support the Wellness Centers at the four comprehensive high schools and support the small high schools health needs and a family nurse practitioner to facilitate increased or improved services provided at the Sutter St. Clinic located in the District Central Enrollment building.</t>
  </si>
  <si>
    <t>Mental Health Clinicians provide increased or improved mental health direct services to students, families, and staff district wide.</t>
  </si>
  <si>
    <t>Trauma-informed care and responsive schools resources, training, professional development, and direct services provided to school sites and staff focused on increasing and improving the learning experience and social-emotional supports provided to students.</t>
  </si>
  <si>
    <t>School counselors at all school sites provide increased or improved academic guidance, social-emotional support and services, career exploration experiences, and collaborative services in partnership with staff and families to address the academic and social-emotional needs.</t>
  </si>
  <si>
    <t>Restorative practices and responsive schools resources, training, professional development, and direct services provided to school sites and staff focused on increasing and improving the learning experience and culture and climate supports provided to students.</t>
  </si>
  <si>
    <t>These additional services are based on identified needs are intended to increase and/or improve the alignment of resources, staff, trainings, and services to unduplicated pupils that direct health and wellness, health care needs, support with outside agencies, culture and climate, mental health, academic &amp; social-emotional supports, and various well-being health direct services to students families, and staff district- wide focused on increasing and improving the learning experience.</t>
  </si>
  <si>
    <t>Restoring assistant principal site leadership support at TK-8th grade school sites to support the development and implementation of programs, services, and resources focused on student academic achievement, social-emotional development, and family engagement.</t>
  </si>
  <si>
    <t>Over formula staffing support at school sites to ensure programs and services have the staffing support needed to provide high quality educational experiences for students, staff, and families.</t>
  </si>
  <si>
    <t>Providing extended learning time for our transitional kindergarten, kindergarten, and middle school students.</t>
  </si>
  <si>
    <t>To employ the certificated instructional staff needed to effectively run the base services provided by the District.</t>
  </si>
  <si>
    <t>Budget resources and supports to hire, train, retain high needs specialized positions such as Speech Language Pathologists and Psychologists.</t>
  </si>
  <si>
    <t>Information services technology support to address the technology and instructional connectivity issues across the district focused on increasing or improving student academic achievement.</t>
  </si>
  <si>
    <t>To complete maintenance at school sites per district timeline to meet facility district standards and to address areas identified from the FIT Report.</t>
  </si>
  <si>
    <t>* Custodians are an essential component that promotes a positive and welcoming school environment. They not only provide care of assigned buildings and grounds, but they are integral to the positive connections that support unduplicated pupils in being connected to their school. Based on the district’s total unduplicated pupil data and foster youth data, 60 Custodial staff (Elementary) and 12 Custodial staff (High School) are targeted to school sites with 55% or greater unduplicated pupils and 2% or greater foster youth.</t>
  </si>
  <si>
    <t>Supported by the School For Adults, adult literacy, civics, and English As A Second Language (ESL) courses and training offered to parents, guardians, and families across the district.</t>
  </si>
  <si>
    <t>Resources, workshops, training, and events that provide increased or improved direct services, engagement, and involvement of parents, guardians, and family members facilitated by the Family Engagement and Education Office leadership and parent liaisons.</t>
  </si>
  <si>
    <t>Providing access to free public transportation bus passes for all students who need increased support in accessing transportation to and from school.</t>
  </si>
  <si>
    <t>Student attendance accountability, family outreach and communication supported by office assistants at schools sites to address the challenges and barriers families face in ensuring students have consistent daily attendance, leading to increase or improved student academic achievement.</t>
  </si>
  <si>
    <t>Truancy intervention and outreach staff and resources to address students who are not attending school, missing days of school, and to provide attendance goal setting and offering incentives in meeting attendance goals for student groups with data-based attendance challenges and identified needs for intervention leading to increased or improved services.</t>
  </si>
  <si>
    <t>To provide increased or improved opportunities for students to participate in Student Clubs &amp; Activities (Kennedy Games / Pentathlon).</t>
  </si>
  <si>
    <t>Resources to provide increased and improved access for high school students to take part in and experience leadership conferences and college and career experiences.</t>
  </si>
  <si>
    <t>Resources and staff to ensure that students are provided with increased or improved access to athletic experiences and programs.</t>
  </si>
  <si>
    <t>Visual and Performing Arts (VAPA) activities, staff, and resources to increase or improve student access to music, dance, and art experiences.</t>
  </si>
  <si>
    <t>Music coordinator oversees and manages the scheduling, resources, and educational training to provide increased or improved supports to both the VAPA and PE staff district wide.</t>
  </si>
  <si>
    <t>Arts resource teachers to provide increased or improved art lessons and learning experiences to students in the elementary and middle school grades.</t>
  </si>
  <si>
    <t>Music teachers to provide increased or improved music lessons and experiences to TK-8th grade students across the district.</t>
  </si>
  <si>
    <t xml:space="preserve">To increase inclusionary practices through a Multi-Tiered System of Supports (MTSS) based approach that allow students with disabilities to receive high quality first instruction in the least restrictive environment through decision making and actions aimed to close equity gaps and increase cross-functional coordination across our entire educational system. Specifically, through the development and implementation of an academic Multi-Tiered Systems of Support (MTSS - response to students’ academic needs) that will bridge the foundational learning gaps to meet their needs using the K-12 master scheduling/rostering process. Develop a shared vision between collective educational partners in the planning, training, and development of systems and practices that integrate tools and strategies to support teaching and learning that helps students with disabilities access an equitable opportunity to succeed. Through the implementation of tools gained from the Universal Design of Learning (UDL) framework, instructional staff help prepare our students with disabilities to access college and career academic programs and provide the necessary skills for success to achieve graduation and success beyond. </t>
  </si>
  <si>
    <t>Increase access to instruction for students with disabilities through the acquisition and distribution of district adopted core and supplemental curriculum, facilitation of strategic collaborative priority course placement in the K-12 master scheduling/rostering that promotes inclusion and access in the least restrictive environment to be on track to graduate. Facilitate mutual training, planning and implementation of practices and protocols in the coordination of sections, pathways, courses, transitioning, and advising students with disabilities. Develop a shared vision between collective educational partners in the planning, training, and development of systems and practices that integrates student Individual Education Plan (IEP) that includes the student’s Individual Transition Plans (ITP) promoting graduation opportunities through access to alternative diploma pathways (including CTE pathways, A-G, Honors, JROTC, IB, Dual Enrollment, Seal of Biliteracy, etc.).</t>
  </si>
  <si>
    <t xml:space="preserve">Mobilize the district’s local assessment (entry/exit criteria) or common assessment to ensure inclusion and access of student applicable supports and initiate the coordination with school sites in the development of strategies/actions with the school site’s plan (SPSA). Coordinate and develop systems and protocols that support quarterly data team reviews at the department and school site levels to drive sustainability. Facilitate compliance practices that promote collaboration and connection of general education teachers and SPED teachers to ensure interventions for student achievement and social emotional student needs. </t>
  </si>
  <si>
    <t>XXX - GOAL 5</t>
  </si>
  <si>
    <t>INSERT STATE PRIORITY</t>
  </si>
  <si>
    <t>5.1 - XXX</t>
  </si>
  <si>
    <t>Action</t>
  </si>
  <si>
    <t>State Priorities: 2, 4, 7, 8
Metrics: 2B, 4A, 4B, 4C, 4D, 4E, 4F, 4G, 4H, 5D, 7A, 8A</t>
  </si>
  <si>
    <t>State Priorities: 2, 4, 7, 8
Metrics: Primary Metrics: 2B, 4A, 4B, 4C, 4D, 4E, 4F, 4G, 4H, 5D, 7A, 8A</t>
  </si>
  <si>
    <t>State Priorities: 2, 4, 7, 8
Metrics: 2A, 2B, 4A, 4B, 4C, 4D, 4E, 4F, 4G, 4H, 5D, 5E, 7A, 8A</t>
  </si>
  <si>
    <t>State Priorities: 2, 4, 7, 8
Metrics: 1B, 2A, 2B, 4A, 4B, 4C, 4D, 4E, 4F, 4G, 4H, 5D, 5E, 7A, 8A</t>
  </si>
  <si>
    <t>State Priorities: 4, 7, 8
Metrics: 1B, 2A, 2B, 4A, 4B, 4C, 4D, 4E, 4F,4G, 4H, 5D, 5E, 7A, 8A</t>
  </si>
  <si>
    <t>State Priorities: 4, 7, 8
Metrics: 2A, 2B, 4A, 4B, 4C, 4D, 4E, 4F, 4G, 4H, 5D, 5E, 7A, 8A</t>
  </si>
  <si>
    <t>State Priorities: 4, 7, 8
Metrics: 1B, 2A, 2B, 4A, 4B, 4C, 4D, 4E, 4F, 4G, 4H, 5D, 5E, 7A, 8A</t>
  </si>
  <si>
    <t>State Priorities: 1, 2, 6
Metrics: 6A, 6B, 6C</t>
  </si>
  <si>
    <t>State Priorities: 1, 6
Metrics: 6B, 6C</t>
  </si>
  <si>
    <t>State Priorities: 4, 7, 8
Metrics: 1A, 6C</t>
  </si>
  <si>
    <t>State Priorities: 5, 6
Metrics: 6A, 6B, 6C</t>
  </si>
  <si>
    <t>State Priorities: 1, 2, 6
Metrics: 1A, 6C</t>
  </si>
  <si>
    <t>State Priorities: 1
Metrics: 1A</t>
  </si>
  <si>
    <t>State Priorities: 1, 2, 6
Metrics: 1A, 1C</t>
  </si>
  <si>
    <t>State Priorities: 1
Metrics: 1C</t>
  </si>
  <si>
    <t>State Priorities: 1, 3, 5, 6
Metrics: 3A, 5A, 5B, 5C</t>
  </si>
  <si>
    <t>State Priorities: 3, 5
Metrics: 3A, 5A, 5B, 5C</t>
  </si>
  <si>
    <t>State Priorities: 3
Metrics: 5A, 5B, 5C</t>
  </si>
  <si>
    <t>State Priorities: 1, 2,4,7, 8
Metrics: Local</t>
  </si>
  <si>
    <t>State Priorities: 1, 2, 4, 7, 8
Metrics: 1B, 2A, 2B, 4A, 4B, 4C, 4D, 4E, 4F, 4G, 4H, 5D, 5E, 7A, 8A</t>
  </si>
  <si>
    <t>State Priorities: 1, 2, 4, 7, 8
Metrics: Local</t>
  </si>
  <si>
    <t>To provide increased or improved services through supplemental Parent liaison and resources support to address the ongoing needs of student groups and the surrounding community related to the development of family resource centers on school campuses to address student and family needs.</t>
  </si>
  <si>
    <t>PBIS chair to oversee and lead the district wide implementation of PBIS services and support focused on increasing or improving student academic achievement.</t>
  </si>
  <si>
    <t>Student Assistance Program support chair and resources to lead and facilitate district wide Multi-Tiered System of Supports implementation and increased or improved services to address the academic and social-emotional needs.</t>
  </si>
  <si>
    <t>Behavior Intervention Team leadership and services that provide increased or improved direct services and staffing support to classrooms and schools across the district focused on addressing the behavioral and mental health needs of students and creating systems and implementing strategies in support of student groups accessing their learning while developing behavioral age appropriate strategies to regulate their well-being and behavior while in the classroom and at school.</t>
  </si>
  <si>
    <t>New teacher training, professional development, and ongoing learning
support.</t>
  </si>
  <si>
    <t>2022-23 LCAP Point of Contacts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</si>
</sst>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0000_);_(* \(#,##0.0000\);_(* &quot;-&quot;??_);_(@_)"/>
  </numFmts>
  <fonts count="36"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sz val="11"/>
      <name val="Calibri"/>
      <family val="2"/>
      <scheme val="minor"/>
    </font>
    <font>
      <sz val="12"/>
      <name val="Calibri"/>
      <family val="2"/>
      <scheme val="minor"/>
    </font>
    <font>
      <sz val="14"/>
      <name val="Calibri"/>
      <family val="2"/>
      <scheme val="minor"/>
    </font>
    <font>
      <b/>
      <sz val="14"/>
      <color theme="1"/>
      <name val="Calibri"/>
      <family val="2"/>
      <scheme val="minor"/>
    </font>
    <font>
      <sz val="16"/>
      <name val="Calibri"/>
      <family val="2"/>
      <scheme val="minor"/>
    </font>
    <font>
      <sz val="16"/>
      <color theme="1"/>
      <name val="Calibri"/>
      <family val="2"/>
      <scheme val="minor"/>
    </font>
    <font>
      <b/>
      <sz val="16"/>
      <color rgb="FFFF0000"/>
      <name val="Calibri"/>
      <family val="2"/>
      <scheme val="minor"/>
    </font>
    <font>
      <b/>
      <sz val="20"/>
      <name val="Calibri"/>
      <family val="2"/>
      <scheme val="minor"/>
    </font>
    <font>
      <b/>
      <sz val="14"/>
      <name val="Calibri"/>
      <family val="2"/>
      <scheme val="minor"/>
    </font>
    <font>
      <b/>
      <sz val="12"/>
      <name val="Calibri"/>
      <family val="2"/>
      <scheme val="minor"/>
    </font>
    <font>
      <b/>
      <i/>
      <sz val="11"/>
      <color theme="1"/>
      <name val="Calibri"/>
      <family val="2"/>
      <scheme val="minor"/>
    </font>
    <font>
      <b/>
      <i/>
      <sz val="11"/>
      <color rgb="FFFF0000"/>
      <name val="Calibri"/>
      <family val="2"/>
      <scheme val="minor"/>
    </font>
    <font>
      <sz val="11"/>
      <color theme="0"/>
      <name val="Calibri"/>
      <family val="2"/>
      <scheme val="minor"/>
    </font>
    <font>
      <sz val="18"/>
      <color theme="1"/>
      <name val="Calibri"/>
      <family val="2"/>
      <scheme val="minor"/>
    </font>
    <font>
      <b/>
      <sz val="18"/>
      <color theme="1"/>
      <name val="Calibri"/>
      <family val="2"/>
      <scheme val="minor"/>
    </font>
    <font>
      <b/>
      <i/>
      <sz val="18"/>
      <color theme="1"/>
      <name val="Calibri"/>
      <family val="2"/>
      <scheme val="minor"/>
    </font>
    <font>
      <b/>
      <i/>
      <sz val="18"/>
      <name val="Calibri"/>
      <family val="2"/>
      <scheme val="minor"/>
    </font>
    <font>
      <b/>
      <i/>
      <sz val="18"/>
      <color rgb="FFFF0000"/>
      <name val="Calibri"/>
      <family val="2"/>
      <scheme val="minor"/>
    </font>
    <font>
      <sz val="18"/>
      <color theme="0"/>
      <name val="Calibri"/>
      <family val="2"/>
      <scheme val="minor"/>
    </font>
    <font>
      <sz val="18"/>
      <name val="Calibri"/>
      <family val="2"/>
      <scheme val="minor"/>
    </font>
    <font>
      <sz val="22"/>
      <color theme="1"/>
      <name val="Calibri"/>
      <family val="2"/>
      <scheme val="minor"/>
    </font>
    <font>
      <b/>
      <sz val="22"/>
      <color theme="1"/>
      <name val="Calibri"/>
      <family val="2"/>
      <scheme val="minor"/>
    </font>
    <font>
      <b/>
      <i/>
      <sz val="22"/>
      <color theme="1"/>
      <name val="Calibri"/>
      <family val="2"/>
      <scheme val="minor"/>
    </font>
    <font>
      <b/>
      <i/>
      <sz val="22"/>
      <name val="Calibri"/>
      <family val="2"/>
      <scheme val="minor"/>
    </font>
    <font>
      <b/>
      <i/>
      <sz val="22"/>
      <color rgb="FFFF0000"/>
      <name val="Calibri"/>
      <family val="2"/>
      <scheme val="minor"/>
    </font>
    <font>
      <b/>
      <sz val="22"/>
      <name val="Calibri"/>
      <family val="2"/>
      <scheme val="minor"/>
    </font>
    <font>
      <b/>
      <sz val="22"/>
      <color rgb="FFFF0000"/>
      <name val="Calibri"/>
      <family val="2"/>
      <scheme val="minor"/>
    </font>
    <font>
      <sz val="22"/>
      <color theme="0"/>
      <name val="Calibri"/>
      <family val="2"/>
      <scheme val="minor"/>
    </font>
    <font>
      <sz val="22"/>
      <name val="Calibri"/>
      <family val="2"/>
      <scheme val="minor"/>
    </font>
    <font>
      <strike/>
      <sz val="11"/>
      <color theme="1"/>
      <name val="Calibri"/>
      <family val="2"/>
      <scheme val="minor"/>
    </font>
    <font>
      <sz val="22"/>
      <color rgb="FF000000"/>
      <name val="Calibri"/>
      <family val="2"/>
    </font>
  </fonts>
  <fills count="13">
    <fill>
      <patternFill patternType="none"/>
    </fill>
    <fill>
      <patternFill patternType="gray125"/>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theme="5"/>
      </patternFill>
    </fill>
    <fill>
      <patternFill patternType="solid">
        <fgColor theme="6"/>
      </patternFill>
    </fill>
    <fill>
      <patternFill patternType="solid">
        <fgColor theme="8"/>
      </patternFill>
    </fill>
    <fill>
      <patternFill patternType="solid">
        <fgColor theme="9"/>
      </patternFill>
    </fill>
    <fill>
      <patternFill patternType="solid">
        <fgColor theme="9" tint="0.39997558519241921"/>
        <bgColor indexed="65"/>
      </patternFill>
    </fill>
    <fill>
      <patternFill patternType="solid">
        <fgColor theme="2" tint="-9.9978637043366805E-2"/>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43" fontId="2" fillId="0" borderId="0" applyFont="0" applyFill="0" applyBorder="0" applyAlignment="0" applyProtection="0"/>
    <xf numFmtId="44" fontId="2" fillId="0" borderId="0" applyFont="0" applyFill="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2" fillId="0" borderId="0"/>
  </cellStyleXfs>
  <cellXfs count="203">
    <xf numFmtId="0" fontId="0" fillId="0" borderId="0" xfId="0"/>
    <xf numFmtId="0" fontId="1" fillId="0" borderId="0" xfId="0" applyFont="1"/>
    <xf numFmtId="0" fontId="6" fillId="0" borderId="0" xfId="0" applyFont="1"/>
    <xf numFmtId="0" fontId="5" fillId="0" borderId="1" xfId="0" applyFont="1" applyBorder="1" applyAlignment="1">
      <alignment vertical="center" wrapText="1"/>
    </xf>
    <xf numFmtId="0" fontId="1" fillId="0" borderId="0" xfId="0" applyFont="1" applyAlignment="1">
      <alignment vertical="center"/>
    </xf>
    <xf numFmtId="0" fontId="10" fillId="0" borderId="0" xfId="0" applyFont="1"/>
    <xf numFmtId="1" fontId="2" fillId="0" borderId="0" xfId="2" applyNumberFormat="1" applyFont="1" applyFill="1" applyAlignment="1">
      <alignment horizontal="center" vertical="center"/>
    </xf>
    <xf numFmtId="164" fontId="2" fillId="0" borderId="0" xfId="2" applyNumberFormat="1" applyFont="1" applyFill="1" applyAlignment="1">
      <alignment vertical="center"/>
    </xf>
    <xf numFmtId="164" fontId="8" fillId="0" borderId="0" xfId="2" applyNumberFormat="1" applyFont="1" applyFill="1" applyBorder="1" applyAlignment="1">
      <alignment vertical="center"/>
    </xf>
    <xf numFmtId="164" fontId="2" fillId="0" borderId="0" xfId="2" applyNumberFormat="1" applyFont="1" applyFill="1" applyBorder="1" applyAlignment="1">
      <alignment vertical="center"/>
    </xf>
    <xf numFmtId="1" fontId="0" fillId="0" borderId="0" xfId="2" applyNumberFormat="1" applyFont="1" applyFill="1" applyBorder="1" applyAlignment="1">
      <alignment horizontal="center" vertical="center"/>
    </xf>
    <xf numFmtId="164" fontId="8" fillId="3" borderId="4" xfId="2" applyNumberFormat="1" applyFont="1" applyFill="1" applyBorder="1" applyAlignment="1">
      <alignment vertical="center"/>
    </xf>
    <xf numFmtId="49" fontId="11" fillId="0" borderId="2" xfId="0" applyNumberFormat="1" applyFont="1" applyBorder="1" applyAlignment="1">
      <alignment wrapText="1"/>
    </xf>
    <xf numFmtId="49" fontId="0" fillId="0" borderId="1" xfId="2" applyNumberFormat="1" applyFont="1" applyFill="1" applyBorder="1" applyAlignment="1">
      <alignment vertical="center" wrapText="1"/>
    </xf>
    <xf numFmtId="49" fontId="0" fillId="0" borderId="1" xfId="0" applyNumberFormat="1" applyBorder="1" applyAlignment="1">
      <alignment vertical="center" wrapText="1"/>
    </xf>
    <xf numFmtId="49" fontId="2" fillId="0" borderId="0" xfId="2" applyNumberFormat="1" applyFont="1" applyFill="1" applyBorder="1" applyAlignment="1">
      <alignment vertical="center"/>
    </xf>
    <xf numFmtId="49" fontId="5" fillId="0" borderId="0" xfId="2" applyNumberFormat="1" applyFont="1" applyFill="1" applyBorder="1" applyAlignment="1">
      <alignment vertical="center"/>
    </xf>
    <xf numFmtId="0" fontId="0" fillId="0" borderId="1" xfId="2" applyNumberFormat="1" applyFont="1" applyFill="1" applyBorder="1" applyAlignment="1">
      <alignment vertical="center" wrapText="1"/>
    </xf>
    <xf numFmtId="0" fontId="0" fillId="0" borderId="1" xfId="0" applyBorder="1" applyAlignment="1">
      <alignment wrapText="1"/>
    </xf>
    <xf numFmtId="0" fontId="0" fillId="0" borderId="1" xfId="0" applyBorder="1" applyAlignment="1">
      <alignment vertical="center" wrapText="1"/>
    </xf>
    <xf numFmtId="49" fontId="0" fillId="0" borderId="1" xfId="2" applyNumberFormat="1" applyFont="1" applyFill="1" applyBorder="1" applyAlignment="1">
      <alignment vertical="center"/>
    </xf>
    <xf numFmtId="49" fontId="2" fillId="0" borderId="0" xfId="2" applyNumberFormat="1" applyFont="1" applyAlignment="1">
      <alignment vertical="center"/>
    </xf>
    <xf numFmtId="49" fontId="0" fillId="0" borderId="1" xfId="2" applyNumberFormat="1" applyFont="1" applyFill="1" applyBorder="1" applyAlignment="1">
      <alignment vertical="top" wrapText="1"/>
    </xf>
    <xf numFmtId="49" fontId="2" fillId="0" borderId="0" xfId="2" applyNumberFormat="1" applyFont="1" applyFill="1" applyAlignment="1">
      <alignment vertical="center" wrapText="1"/>
    </xf>
    <xf numFmtId="49" fontId="3" fillId="4" borderId="1" xfId="2" applyNumberFormat="1" applyFont="1" applyFill="1" applyBorder="1" applyAlignment="1">
      <alignment vertical="center" wrapText="1"/>
    </xf>
    <xf numFmtId="49" fontId="9" fillId="3" borderId="4" xfId="2" applyNumberFormat="1" applyFont="1" applyFill="1" applyBorder="1" applyAlignment="1">
      <alignment vertical="center" wrapText="1"/>
    </xf>
    <xf numFmtId="49" fontId="0" fillId="0" borderId="0" xfId="2" applyNumberFormat="1" applyFont="1" applyFill="1" applyBorder="1" applyAlignment="1">
      <alignment vertical="center" wrapText="1"/>
    </xf>
    <xf numFmtId="49" fontId="5" fillId="0" borderId="0" xfId="2" applyNumberFormat="1" applyFont="1" applyFill="1" applyBorder="1" applyAlignment="1">
      <alignment vertical="center" wrapText="1"/>
    </xf>
    <xf numFmtId="49" fontId="2" fillId="0" borderId="0" xfId="2" applyNumberFormat="1" applyFont="1" applyFill="1" applyBorder="1" applyAlignment="1">
      <alignment vertical="center" wrapText="1"/>
    </xf>
    <xf numFmtId="49" fontId="2" fillId="0" borderId="0" xfId="2" applyNumberFormat="1" applyFont="1" applyAlignment="1">
      <alignment vertical="center" wrapText="1"/>
    </xf>
    <xf numFmtId="49" fontId="0" fillId="0" borderId="1" xfId="2" quotePrefix="1" applyNumberFormat="1" applyFont="1" applyFill="1" applyBorder="1" applyAlignment="1">
      <alignment horizontal="left" vertical="center" wrapText="1"/>
    </xf>
    <xf numFmtId="49" fontId="0" fillId="0" borderId="1" xfId="2" applyNumberFormat="1" applyFont="1" applyFill="1" applyBorder="1" applyAlignment="1">
      <alignment horizontal="left" vertical="center" wrapText="1"/>
    </xf>
    <xf numFmtId="1" fontId="0" fillId="0" borderId="0" xfId="2" applyNumberFormat="1" applyFont="1" applyFill="1" applyAlignment="1">
      <alignment horizontal="center" vertical="center"/>
    </xf>
    <xf numFmtId="49" fontId="4" fillId="0" borderId="0" xfId="0" applyNumberFormat="1" applyFont="1"/>
    <xf numFmtId="49" fontId="12" fillId="0" borderId="0" xfId="0" applyNumberFormat="1" applyFont="1"/>
    <xf numFmtId="49" fontId="13" fillId="3" borderId="3" xfId="2" applyNumberFormat="1" applyFont="1" applyFill="1" applyBorder="1" applyAlignment="1"/>
    <xf numFmtId="49" fontId="7" fillId="3" borderId="4" xfId="2" applyNumberFormat="1" applyFont="1" applyFill="1" applyBorder="1" applyAlignment="1">
      <alignment vertical="center" wrapText="1"/>
    </xf>
    <xf numFmtId="49" fontId="5" fillId="0" borderId="1" xfId="2" quotePrefix="1" applyNumberFormat="1" applyFont="1" applyFill="1" applyBorder="1" applyAlignment="1">
      <alignment vertical="center" wrapText="1"/>
    </xf>
    <xf numFmtId="49" fontId="5" fillId="0" borderId="1" xfId="2" quotePrefix="1" applyNumberFormat="1" applyFont="1" applyFill="1" applyBorder="1" applyAlignment="1">
      <alignment horizontal="left" vertical="center" wrapText="1"/>
    </xf>
    <xf numFmtId="44" fontId="2" fillId="0" borderId="0" xfId="2" applyFont="1" applyFill="1" applyAlignment="1">
      <alignment horizontal="center" vertical="center"/>
    </xf>
    <xf numFmtId="164" fontId="0" fillId="0" borderId="0" xfId="2" applyNumberFormat="1" applyFont="1" applyFill="1" applyAlignment="1">
      <alignment vertical="center"/>
    </xf>
    <xf numFmtId="164" fontId="16" fillId="5" borderId="0" xfId="2" applyNumberFormat="1" applyFont="1" applyFill="1" applyAlignment="1">
      <alignment vertical="center"/>
    </xf>
    <xf numFmtId="164" fontId="15" fillId="5" borderId="0" xfId="2" applyNumberFormat="1" applyFont="1" applyFill="1" applyAlignment="1">
      <alignment vertical="center"/>
    </xf>
    <xf numFmtId="164" fontId="8" fillId="5" borderId="1" xfId="2" applyNumberFormat="1" applyFont="1" applyFill="1" applyBorder="1" applyAlignment="1">
      <alignment vertical="center"/>
    </xf>
    <xf numFmtId="164" fontId="3" fillId="5" borderId="1" xfId="2" applyNumberFormat="1" applyFont="1" applyFill="1" applyBorder="1" applyAlignment="1">
      <alignment horizontal="center" vertical="center" wrapText="1"/>
    </xf>
    <xf numFmtId="164" fontId="2" fillId="5" borderId="0" xfId="2" applyNumberFormat="1" applyFont="1" applyFill="1" applyBorder="1" applyAlignment="1">
      <alignment vertical="center"/>
    </xf>
    <xf numFmtId="164" fontId="8" fillId="5" borderId="4" xfId="2" applyNumberFormat="1" applyFont="1" applyFill="1" applyBorder="1" applyAlignment="1">
      <alignment vertical="center"/>
    </xf>
    <xf numFmtId="164" fontId="2" fillId="5" borderId="1" xfId="2" applyNumberFormat="1" applyFont="1" applyFill="1" applyBorder="1" applyAlignment="1">
      <alignment vertical="center"/>
    </xf>
    <xf numFmtId="164" fontId="0" fillId="5" borderId="1" xfId="2" applyNumberFormat="1" applyFont="1" applyFill="1" applyBorder="1" applyAlignment="1">
      <alignment horizontal="center" vertical="center"/>
    </xf>
    <xf numFmtId="164" fontId="3" fillId="5" borderId="0" xfId="2" applyNumberFormat="1" applyFont="1" applyFill="1" applyBorder="1" applyAlignment="1">
      <alignment vertical="center"/>
    </xf>
    <xf numFmtId="164" fontId="0" fillId="5" borderId="6" xfId="2" applyNumberFormat="1" applyFont="1" applyFill="1" applyBorder="1" applyAlignment="1">
      <alignment vertical="center"/>
    </xf>
    <xf numFmtId="164" fontId="0" fillId="5" borderId="1" xfId="2" applyNumberFormat="1" applyFont="1" applyFill="1" applyBorder="1" applyAlignment="1">
      <alignment vertical="center"/>
    </xf>
    <xf numFmtId="164" fontId="2" fillId="5" borderId="0" xfId="2" applyNumberFormat="1" applyFont="1" applyFill="1" applyAlignment="1">
      <alignment vertical="center"/>
    </xf>
    <xf numFmtId="164" fontId="0" fillId="5" borderId="5" xfId="2" applyNumberFormat="1" applyFont="1" applyFill="1" applyBorder="1" applyAlignment="1">
      <alignment horizontal="center" vertical="center"/>
    </xf>
    <xf numFmtId="49" fontId="13" fillId="3" borderId="4" xfId="2" applyNumberFormat="1" applyFont="1" applyFill="1" applyBorder="1" applyAlignment="1"/>
    <xf numFmtId="49" fontId="0" fillId="0" borderId="1" xfId="0" applyNumberFormat="1" applyBorder="1" applyAlignment="1">
      <alignment wrapText="1"/>
    </xf>
    <xf numFmtId="49" fontId="5" fillId="0" borderId="1" xfId="0" applyNumberFormat="1" applyFont="1" applyBorder="1" applyAlignment="1">
      <alignment vertical="center" wrapText="1"/>
    </xf>
    <xf numFmtId="49" fontId="0" fillId="0" borderId="1" xfId="1" applyNumberFormat="1" applyFont="1" applyFill="1" applyBorder="1" applyAlignment="1">
      <alignment vertical="center"/>
    </xf>
    <xf numFmtId="49" fontId="0" fillId="0" borderId="1" xfId="1" applyNumberFormat="1" applyFont="1" applyFill="1" applyBorder="1" applyAlignment="1">
      <alignment horizontal="left" vertical="center"/>
    </xf>
    <xf numFmtId="0" fontId="13" fillId="0" borderId="0" xfId="0" applyFont="1" applyAlignment="1">
      <alignment vertical="top" wrapText="1"/>
    </xf>
    <xf numFmtId="49" fontId="14" fillId="0" borderId="2" xfId="0" applyNumberFormat="1" applyFont="1" applyBorder="1" applyAlignment="1">
      <alignment horizontal="left" wrapText="1"/>
    </xf>
    <xf numFmtId="49" fontId="3" fillId="11" borderId="1" xfId="2" applyNumberFormat="1" applyFont="1" applyFill="1" applyBorder="1" applyAlignment="1">
      <alignment horizontal="center" vertical="center" wrapText="1"/>
    </xf>
    <xf numFmtId="49" fontId="3" fillId="0" borderId="1" xfId="2" applyNumberFormat="1" applyFont="1" applyFill="1" applyBorder="1" applyAlignment="1">
      <alignment vertical="center"/>
    </xf>
    <xf numFmtId="49" fontId="12" fillId="0" borderId="0" xfId="0" applyNumberFormat="1" applyFont="1" applyAlignment="1">
      <alignment wrapText="1"/>
    </xf>
    <xf numFmtId="49" fontId="5" fillId="0" borderId="1" xfId="2" applyNumberFormat="1" applyFont="1" applyFill="1" applyBorder="1" applyAlignment="1">
      <alignment vertical="center" wrapText="1"/>
    </xf>
    <xf numFmtId="49" fontId="2" fillId="0" borderId="1" xfId="2" applyNumberFormat="1" applyFont="1" applyFill="1" applyBorder="1" applyAlignment="1">
      <alignment vertical="center" wrapText="1"/>
    </xf>
    <xf numFmtId="164" fontId="0" fillId="5" borderId="0" xfId="2" applyNumberFormat="1" applyFont="1" applyFill="1" applyBorder="1" applyAlignment="1">
      <alignment horizontal="center" vertical="center"/>
    </xf>
    <xf numFmtId="49" fontId="0" fillId="0" borderId="0" xfId="2" applyNumberFormat="1" applyFont="1" applyFill="1" applyBorder="1" applyAlignment="1">
      <alignment vertical="top" wrapText="1"/>
    </xf>
    <xf numFmtId="0" fontId="0" fillId="0" borderId="3" xfId="0" applyBorder="1" applyAlignment="1">
      <alignment wrapText="1"/>
    </xf>
    <xf numFmtId="49" fontId="0" fillId="0" borderId="4" xfId="0" applyNumberFormat="1" applyBorder="1" applyAlignment="1">
      <alignment wrapText="1"/>
    </xf>
    <xf numFmtId="49" fontId="0" fillId="0" borderId="3" xfId="0" applyNumberFormat="1" applyBorder="1" applyAlignment="1">
      <alignment vertical="center" wrapText="1"/>
    </xf>
    <xf numFmtId="49" fontId="0" fillId="0" borderId="4" xfId="0" applyNumberFormat="1" applyBorder="1" applyAlignment="1">
      <alignment vertical="center" wrapText="1"/>
    </xf>
    <xf numFmtId="49" fontId="0" fillId="0" borderId="3" xfId="2" applyNumberFormat="1" applyFont="1" applyFill="1" applyBorder="1" applyAlignment="1">
      <alignment vertical="center" wrapText="1"/>
    </xf>
    <xf numFmtId="49" fontId="0" fillId="0" borderId="4" xfId="1" applyNumberFormat="1" applyFont="1" applyFill="1" applyBorder="1" applyAlignment="1">
      <alignment horizontal="left" vertical="center"/>
    </xf>
    <xf numFmtId="164" fontId="18" fillId="0" borderId="0" xfId="2" applyNumberFormat="1" applyFont="1" applyFill="1" applyAlignment="1">
      <alignment vertical="center"/>
    </xf>
    <xf numFmtId="164" fontId="18" fillId="0" borderId="0" xfId="2" applyNumberFormat="1" applyFont="1" applyFill="1" applyAlignment="1">
      <alignment horizontal="center" vertical="center"/>
    </xf>
    <xf numFmtId="164" fontId="20" fillId="0" borderId="0" xfId="2" applyNumberFormat="1" applyFont="1" applyFill="1" applyAlignment="1">
      <alignment horizontal="right" vertical="center" wrapText="1"/>
    </xf>
    <xf numFmtId="164" fontId="21" fillId="0" borderId="0" xfId="2" applyNumberFormat="1" applyFont="1" applyFill="1" applyAlignment="1">
      <alignment vertical="center"/>
    </xf>
    <xf numFmtId="164" fontId="22" fillId="0" borderId="0" xfId="2" applyNumberFormat="1" applyFont="1" applyFill="1" applyAlignment="1">
      <alignment vertical="center"/>
    </xf>
    <xf numFmtId="6" fontId="20" fillId="0" borderId="0" xfId="2" applyNumberFormat="1" applyFont="1" applyFill="1" applyAlignment="1">
      <alignment horizontal="right" vertical="center"/>
    </xf>
    <xf numFmtId="164" fontId="20" fillId="0" borderId="0" xfId="2" applyNumberFormat="1" applyFont="1" applyFill="1" applyAlignment="1">
      <alignment vertical="center"/>
    </xf>
    <xf numFmtId="164" fontId="19" fillId="0" borderId="1" xfId="2" applyNumberFormat="1" applyFont="1" applyFill="1" applyBorder="1" applyAlignment="1">
      <alignment vertical="center"/>
    </xf>
    <xf numFmtId="44" fontId="19" fillId="2" borderId="1" xfId="2" applyFont="1" applyFill="1" applyBorder="1" applyAlignment="1">
      <alignment horizontal="center" vertical="center" wrapText="1"/>
    </xf>
    <xf numFmtId="40" fontId="23" fillId="6" borderId="1" xfId="3" applyNumberFormat="1" applyFont="1" applyBorder="1" applyAlignment="1">
      <alignment horizontal="center" vertical="center" wrapText="1"/>
    </xf>
    <xf numFmtId="40" fontId="23" fillId="9" borderId="1" xfId="6" applyNumberFormat="1" applyFont="1" applyBorder="1" applyAlignment="1">
      <alignment horizontal="center" vertical="center" wrapText="1"/>
    </xf>
    <xf numFmtId="164" fontId="23" fillId="7" borderId="1" xfId="4" applyNumberFormat="1" applyFont="1" applyBorder="1" applyAlignment="1">
      <alignment horizontal="center" vertical="center" wrapText="1"/>
    </xf>
    <xf numFmtId="164" fontId="23" fillId="8" borderId="1" xfId="5" applyNumberFormat="1" applyFont="1" applyBorder="1" applyAlignment="1">
      <alignment horizontal="center" vertical="center" wrapText="1"/>
    </xf>
    <xf numFmtId="164" fontId="19" fillId="0" borderId="0" xfId="2" applyNumberFormat="1" applyFont="1" applyFill="1" applyBorder="1" applyAlignment="1">
      <alignment vertical="center"/>
    </xf>
    <xf numFmtId="164" fontId="18" fillId="0" borderId="0" xfId="2" applyNumberFormat="1" applyFont="1" applyFill="1" applyBorder="1" applyAlignment="1">
      <alignment vertical="center"/>
    </xf>
    <xf numFmtId="164" fontId="19" fillId="3" borderId="4" xfId="2" applyNumberFormat="1" applyFont="1" applyFill="1" applyBorder="1" applyAlignment="1">
      <alignment vertical="center"/>
    </xf>
    <xf numFmtId="164" fontId="18" fillId="0" borderId="1" xfId="2" applyNumberFormat="1" applyFont="1" applyFill="1" applyBorder="1" applyAlignment="1">
      <alignment vertical="center"/>
    </xf>
    <xf numFmtId="164" fontId="18" fillId="0" borderId="1" xfId="2" applyNumberFormat="1" applyFont="1" applyFill="1" applyBorder="1" applyAlignment="1">
      <alignment horizontal="center" vertical="center"/>
    </xf>
    <xf numFmtId="164" fontId="18" fillId="0" borderId="5" xfId="2" applyNumberFormat="1" applyFont="1" applyFill="1" applyBorder="1" applyAlignment="1">
      <alignment vertical="center"/>
    </xf>
    <xf numFmtId="164" fontId="24" fillId="0" borderId="1" xfId="2" applyNumberFormat="1" applyFont="1" applyFill="1" applyBorder="1" applyAlignment="1">
      <alignment vertical="center"/>
    </xf>
    <xf numFmtId="164" fontId="18" fillId="0" borderId="6" xfId="2" applyNumberFormat="1" applyFont="1" applyFill="1" applyBorder="1" applyAlignment="1">
      <alignment vertical="center"/>
    </xf>
    <xf numFmtId="164" fontId="18" fillId="0" borderId="0" xfId="2" applyNumberFormat="1" applyFont="1" applyFill="1" applyBorder="1" applyAlignment="1">
      <alignment horizontal="center" vertical="center"/>
    </xf>
    <xf numFmtId="1" fontId="25" fillId="0" borderId="0" xfId="2" applyNumberFormat="1" applyFont="1" applyFill="1" applyAlignment="1">
      <alignment horizontal="center" vertical="center"/>
    </xf>
    <xf numFmtId="164" fontId="25" fillId="0" borderId="0" xfId="2" applyNumberFormat="1" applyFont="1" applyFill="1" applyAlignment="1">
      <alignment vertical="center"/>
    </xf>
    <xf numFmtId="164" fontId="25" fillId="0" borderId="0" xfId="2" applyNumberFormat="1" applyFont="1" applyFill="1" applyAlignment="1">
      <alignment horizontal="center" vertical="center"/>
    </xf>
    <xf numFmtId="164" fontId="27" fillId="0" borderId="0" xfId="2" applyNumberFormat="1" applyFont="1" applyFill="1" applyAlignment="1">
      <alignment horizontal="right" vertical="center" wrapText="1"/>
    </xf>
    <xf numFmtId="164" fontId="28" fillId="0" borderId="0" xfId="2" applyNumberFormat="1" applyFont="1" applyFill="1" applyAlignment="1">
      <alignment vertical="center"/>
    </xf>
    <xf numFmtId="164" fontId="29" fillId="0" borderId="0" xfId="2" applyNumberFormat="1" applyFont="1" applyFill="1" applyAlignment="1">
      <alignment vertical="center"/>
    </xf>
    <xf numFmtId="164" fontId="29" fillId="5" borderId="0" xfId="2" applyNumberFormat="1" applyFont="1" applyFill="1" applyAlignment="1">
      <alignment vertical="center"/>
    </xf>
    <xf numFmtId="0" fontId="30" fillId="0" borderId="0" xfId="0" applyFont="1" applyAlignment="1">
      <alignment vertical="top" wrapText="1"/>
    </xf>
    <xf numFmtId="1" fontId="25" fillId="0" borderId="0" xfId="2" applyNumberFormat="1" applyFont="1" applyFill="1" applyAlignment="1">
      <alignment horizontal="right" vertical="center"/>
    </xf>
    <xf numFmtId="6" fontId="27" fillId="0" borderId="0" xfId="2" applyNumberFormat="1" applyFont="1" applyFill="1" applyAlignment="1">
      <alignment horizontal="right" vertical="center"/>
    </xf>
    <xf numFmtId="164" fontId="27" fillId="0" borderId="0" xfId="2" applyNumberFormat="1" applyFont="1" applyFill="1" applyAlignment="1">
      <alignment horizontal="right" vertical="center"/>
    </xf>
    <xf numFmtId="164" fontId="27" fillId="0" borderId="0" xfId="2" applyNumberFormat="1" applyFont="1" applyFill="1" applyAlignment="1">
      <alignment vertical="center"/>
    </xf>
    <xf numFmtId="164" fontId="27" fillId="5" borderId="0" xfId="2" applyNumberFormat="1" applyFont="1" applyFill="1" applyAlignment="1">
      <alignment vertical="center"/>
    </xf>
    <xf numFmtId="49" fontId="31" fillId="0" borderId="2" xfId="0" applyNumberFormat="1" applyFont="1" applyBorder="1" applyAlignment="1">
      <alignment wrapText="1"/>
    </xf>
    <xf numFmtId="1" fontId="30" fillId="0" borderId="2" xfId="2" applyNumberFormat="1" applyFont="1" applyFill="1" applyBorder="1" applyAlignment="1">
      <alignment horizontal="right" vertical="center"/>
    </xf>
    <xf numFmtId="164" fontId="26" fillId="0" borderId="1" xfId="2" applyNumberFormat="1" applyFont="1" applyFill="1" applyBorder="1" applyAlignment="1">
      <alignment vertical="center"/>
    </xf>
    <xf numFmtId="164" fontId="26" fillId="5" borderId="1" xfId="2" applyNumberFormat="1" applyFont="1" applyFill="1" applyBorder="1" applyAlignment="1">
      <alignment vertical="center"/>
    </xf>
    <xf numFmtId="1" fontId="26" fillId="4" borderId="1" xfId="2" applyNumberFormat="1" applyFont="1" applyFill="1" applyBorder="1" applyAlignment="1">
      <alignment horizontal="center" vertical="center"/>
    </xf>
    <xf numFmtId="44" fontId="26" fillId="2" borderId="1" xfId="2" applyFont="1" applyFill="1" applyBorder="1" applyAlignment="1">
      <alignment horizontal="center" vertical="center" wrapText="1"/>
    </xf>
    <xf numFmtId="40" fontId="32" fillId="6" borderId="1" xfId="3" applyNumberFormat="1" applyFont="1" applyBorder="1" applyAlignment="1">
      <alignment horizontal="center" vertical="center" wrapText="1"/>
    </xf>
    <xf numFmtId="40" fontId="32" fillId="9" borderId="1" xfId="6" applyNumberFormat="1" applyFont="1" applyBorder="1" applyAlignment="1">
      <alignment horizontal="center" vertical="center" wrapText="1"/>
    </xf>
    <xf numFmtId="164" fontId="32" fillId="7" borderId="1" xfId="4" applyNumberFormat="1" applyFont="1" applyBorder="1" applyAlignment="1">
      <alignment horizontal="center" vertical="center" wrapText="1"/>
    </xf>
    <xf numFmtId="164" fontId="32" fillId="8" borderId="1" xfId="5" applyNumberFormat="1" applyFont="1" applyBorder="1" applyAlignment="1">
      <alignment horizontal="center" vertical="center" wrapText="1"/>
    </xf>
    <xf numFmtId="164" fontId="32" fillId="10" borderId="1" xfId="7" applyNumberFormat="1" applyFont="1" applyBorder="1" applyAlignment="1">
      <alignment horizontal="center" vertical="center" wrapText="1"/>
    </xf>
    <xf numFmtId="164" fontId="26" fillId="5" borderId="1" xfId="2" applyNumberFormat="1" applyFont="1" applyFill="1" applyBorder="1" applyAlignment="1">
      <alignment horizontal="center" vertical="center" wrapText="1"/>
    </xf>
    <xf numFmtId="49" fontId="30" fillId="0" borderId="2" xfId="0" applyNumberFormat="1" applyFont="1" applyBorder="1" applyAlignment="1">
      <alignment horizontal="left" wrapText="1"/>
    </xf>
    <xf numFmtId="1" fontId="30" fillId="0" borderId="0" xfId="2" applyNumberFormat="1" applyFont="1" applyFill="1" applyBorder="1" applyAlignment="1">
      <alignment horizontal="right" vertical="center"/>
    </xf>
    <xf numFmtId="164" fontId="26" fillId="0" borderId="0" xfId="2" applyNumberFormat="1" applyFont="1" applyFill="1" applyBorder="1" applyAlignment="1">
      <alignment vertical="center"/>
    </xf>
    <xf numFmtId="1" fontId="33" fillId="0" borderId="0" xfId="2" applyNumberFormat="1" applyFont="1" applyFill="1" applyBorder="1" applyAlignment="1">
      <alignment horizontal="center" vertical="center"/>
    </xf>
    <xf numFmtId="164" fontId="25" fillId="0" borderId="0" xfId="2" applyNumberFormat="1" applyFont="1" applyFill="1" applyBorder="1" applyAlignment="1">
      <alignment vertical="center"/>
    </xf>
    <xf numFmtId="164" fontId="25" fillId="5" borderId="0" xfId="2" applyNumberFormat="1" applyFont="1" applyFill="1" applyBorder="1" applyAlignment="1">
      <alignment vertical="center"/>
    </xf>
    <xf numFmtId="1" fontId="30" fillId="3" borderId="4" xfId="2" applyNumberFormat="1" applyFont="1" applyFill="1" applyBorder="1" applyAlignment="1">
      <alignment horizontal="center" vertical="center"/>
    </xf>
    <xf numFmtId="164" fontId="26" fillId="3" borderId="4" xfId="2" applyNumberFormat="1" applyFont="1" applyFill="1" applyBorder="1" applyAlignment="1">
      <alignment vertical="center"/>
    </xf>
    <xf numFmtId="0" fontId="25" fillId="0" borderId="1" xfId="2" applyNumberFormat="1" applyFont="1" applyFill="1" applyBorder="1" applyAlignment="1">
      <alignment vertical="center" wrapText="1"/>
    </xf>
    <xf numFmtId="49" fontId="25" fillId="0" borderId="1" xfId="2" applyNumberFormat="1" applyFont="1" applyFill="1" applyBorder="1" applyAlignment="1">
      <alignment vertical="center" wrapText="1"/>
    </xf>
    <xf numFmtId="1" fontId="25" fillId="4" borderId="1" xfId="2" applyNumberFormat="1" applyFont="1" applyFill="1" applyBorder="1" applyAlignment="1">
      <alignment horizontal="center" vertical="center"/>
    </xf>
    <xf numFmtId="164" fontId="25" fillId="0" borderId="1" xfId="2" applyNumberFormat="1" applyFont="1" applyFill="1" applyBorder="1" applyAlignment="1">
      <alignment vertical="center"/>
    </xf>
    <xf numFmtId="164" fontId="32" fillId="9" borderId="1" xfId="6" applyNumberFormat="1" applyFont="1" applyBorder="1" applyAlignment="1">
      <alignment vertical="center"/>
    </xf>
    <xf numFmtId="164" fontId="25" fillId="5" borderId="1" xfId="2" applyNumberFormat="1" applyFont="1" applyFill="1" applyBorder="1" applyAlignment="1">
      <alignment vertical="center"/>
    </xf>
    <xf numFmtId="49" fontId="33" fillId="0" borderId="1" xfId="2" applyNumberFormat="1" applyFont="1" applyFill="1" applyBorder="1" applyAlignment="1">
      <alignment vertical="center" wrapText="1"/>
    </xf>
    <xf numFmtId="1" fontId="25" fillId="0" borderId="0" xfId="2" applyNumberFormat="1" applyFont="1" applyFill="1" applyBorder="1" applyAlignment="1">
      <alignment horizontal="center" vertical="center"/>
    </xf>
    <xf numFmtId="164" fontId="26" fillId="5" borderId="0" xfId="2" applyNumberFormat="1" applyFont="1" applyFill="1" applyBorder="1" applyAlignment="1">
      <alignment vertical="center"/>
    </xf>
    <xf numFmtId="0" fontId="25" fillId="0" borderId="1" xfId="0" applyFont="1" applyBorder="1" applyAlignment="1">
      <alignment wrapText="1"/>
    </xf>
    <xf numFmtId="164" fontId="25" fillId="0" borderId="1" xfId="2" applyNumberFormat="1" applyFont="1" applyFill="1" applyBorder="1" applyAlignment="1">
      <alignment horizontal="center" vertical="center"/>
    </xf>
    <xf numFmtId="164" fontId="25" fillId="5" borderId="1" xfId="2" applyNumberFormat="1" applyFont="1" applyFill="1" applyBorder="1" applyAlignment="1">
      <alignment horizontal="center" vertical="center"/>
    </xf>
    <xf numFmtId="164" fontId="26" fillId="5" borderId="4" xfId="2" applyNumberFormat="1" applyFont="1" applyFill="1" applyBorder="1" applyAlignment="1">
      <alignment vertical="center"/>
    </xf>
    <xf numFmtId="0" fontId="25" fillId="0" borderId="1" xfId="0" applyFont="1" applyBorder="1" applyAlignment="1">
      <alignment vertical="center" wrapText="1"/>
    </xf>
    <xf numFmtId="49" fontId="25" fillId="0" borderId="1" xfId="0" applyNumberFormat="1" applyFont="1" applyBorder="1" applyAlignment="1">
      <alignment vertical="center" wrapText="1"/>
    </xf>
    <xf numFmtId="164" fontId="32" fillId="9" borderId="1" xfId="6" applyNumberFormat="1" applyFont="1" applyBorder="1" applyAlignment="1">
      <alignment horizontal="center" vertical="center"/>
    </xf>
    <xf numFmtId="164" fontId="25" fillId="0" borderId="1" xfId="2" applyNumberFormat="1" applyFont="1" applyFill="1" applyBorder="1" applyAlignment="1">
      <alignment vertical="center" wrapText="1"/>
    </xf>
    <xf numFmtId="164" fontId="25" fillId="5" borderId="5" xfId="2" applyNumberFormat="1" applyFont="1" applyFill="1" applyBorder="1" applyAlignment="1">
      <alignment vertical="center" wrapText="1"/>
    </xf>
    <xf numFmtId="164" fontId="25" fillId="0" borderId="5" xfId="2" applyNumberFormat="1" applyFont="1" applyFill="1" applyBorder="1" applyAlignment="1">
      <alignment vertical="center"/>
    </xf>
    <xf numFmtId="0" fontId="33" fillId="0" borderId="1" xfId="0" applyFont="1" applyBorder="1" applyAlignment="1">
      <alignment vertical="center" wrapText="1"/>
    </xf>
    <xf numFmtId="164" fontId="25" fillId="0" borderId="5" xfId="2" applyNumberFormat="1" applyFont="1" applyFill="1" applyBorder="1" applyAlignment="1">
      <alignment vertical="center" wrapText="1"/>
    </xf>
    <xf numFmtId="49" fontId="25" fillId="0" borderId="1" xfId="2" quotePrefix="1" applyNumberFormat="1" applyFont="1" applyFill="1" applyBorder="1" applyAlignment="1">
      <alignment horizontal="left" vertical="center" wrapText="1"/>
    </xf>
    <xf numFmtId="49" fontId="33" fillId="0" borderId="1" xfId="2" quotePrefix="1" applyNumberFormat="1" applyFont="1" applyFill="1" applyBorder="1" applyAlignment="1">
      <alignment horizontal="left" vertical="center" wrapText="1"/>
    </xf>
    <xf numFmtId="1" fontId="33" fillId="4" borderId="1" xfId="2" applyNumberFormat="1" applyFont="1" applyFill="1" applyBorder="1" applyAlignment="1">
      <alignment horizontal="center" vertical="center"/>
    </xf>
    <xf numFmtId="164" fontId="33" fillId="0" borderId="1" xfId="2" applyNumberFormat="1" applyFont="1" applyFill="1" applyBorder="1" applyAlignment="1">
      <alignment vertical="center"/>
    </xf>
    <xf numFmtId="164" fontId="25" fillId="0" borderId="6" xfId="2" applyNumberFormat="1" applyFont="1" applyFill="1" applyBorder="1" applyAlignment="1">
      <alignment vertical="center"/>
    </xf>
    <xf numFmtId="164" fontId="25" fillId="5" borderId="6" xfId="2" applyNumberFormat="1" applyFont="1" applyFill="1" applyBorder="1" applyAlignment="1">
      <alignment vertical="center"/>
    </xf>
    <xf numFmtId="49" fontId="30" fillId="0" borderId="0" xfId="0" applyNumberFormat="1" applyFont="1" applyAlignment="1">
      <alignment horizontal="left" wrapText="1"/>
    </xf>
    <xf numFmtId="164" fontId="26" fillId="3" borderId="4" xfId="2" applyNumberFormat="1" applyFont="1" applyFill="1" applyBorder="1" applyAlignment="1">
      <alignment vertical="center" wrapText="1"/>
    </xf>
    <xf numFmtId="49" fontId="25" fillId="0" borderId="1" xfId="2" applyNumberFormat="1" applyFont="1" applyFill="1" applyBorder="1" applyAlignment="1">
      <alignment vertical="top" wrapText="1"/>
    </xf>
    <xf numFmtId="164" fontId="25" fillId="5" borderId="5" xfId="2" applyNumberFormat="1" applyFont="1" applyFill="1" applyBorder="1" applyAlignment="1">
      <alignment horizontal="center" vertical="center"/>
    </xf>
    <xf numFmtId="49" fontId="25" fillId="0" borderId="1" xfId="2" applyNumberFormat="1" applyFont="1" applyFill="1" applyBorder="1" applyAlignment="1">
      <alignment horizontal="left" vertical="center" wrapText="1"/>
    </xf>
    <xf numFmtId="49" fontId="25" fillId="0" borderId="0" xfId="2" applyNumberFormat="1" applyFont="1" applyFill="1" applyBorder="1" applyAlignment="1">
      <alignment vertical="center" wrapText="1"/>
    </xf>
    <xf numFmtId="1" fontId="25" fillId="4" borderId="0" xfId="2" applyNumberFormat="1" applyFont="1" applyFill="1" applyBorder="1" applyAlignment="1">
      <alignment horizontal="center" vertical="center"/>
    </xf>
    <xf numFmtId="164" fontId="25" fillId="0" borderId="0" xfId="2" applyNumberFormat="1" applyFont="1" applyFill="1" applyBorder="1" applyAlignment="1">
      <alignment horizontal="center" vertical="center"/>
    </xf>
    <xf numFmtId="164" fontId="25" fillId="5" borderId="0" xfId="2" applyNumberFormat="1" applyFont="1" applyFill="1" applyBorder="1" applyAlignment="1">
      <alignment horizontal="center" vertical="center"/>
    </xf>
    <xf numFmtId="164" fontId="25" fillId="5" borderId="0" xfId="2" applyNumberFormat="1" applyFont="1" applyFill="1" applyAlignment="1">
      <alignment vertical="center"/>
    </xf>
    <xf numFmtId="49" fontId="25" fillId="0" borderId="0" xfId="2" applyNumberFormat="1" applyFont="1" applyAlignment="1">
      <alignment vertical="center" wrapText="1"/>
    </xf>
    <xf numFmtId="49" fontId="26" fillId="0" borderId="0" xfId="0" applyNumberFormat="1" applyFont="1" applyAlignment="1">
      <alignment wrapText="1"/>
    </xf>
    <xf numFmtId="49" fontId="26" fillId="0" borderId="1" xfId="2" applyNumberFormat="1" applyFont="1" applyFill="1" applyBorder="1" applyAlignment="1">
      <alignment vertical="center" wrapText="1"/>
    </xf>
    <xf numFmtId="49" fontId="30" fillId="0" borderId="0" xfId="0" applyNumberFormat="1" applyFont="1" applyAlignment="1">
      <alignment wrapText="1"/>
    </xf>
    <xf numFmtId="49" fontId="30" fillId="3" borderId="3" xfId="2" applyNumberFormat="1" applyFont="1" applyFill="1" applyBorder="1" applyAlignment="1">
      <alignment wrapText="1"/>
    </xf>
    <xf numFmtId="49" fontId="33" fillId="0" borderId="0" xfId="2" applyNumberFormat="1" applyFont="1" applyFill="1" applyBorder="1" applyAlignment="1">
      <alignment vertical="center" wrapText="1"/>
    </xf>
    <xf numFmtId="165" fontId="0" fillId="0" borderId="0" xfId="1" applyNumberFormat="1" applyFont="1" applyFill="1" applyBorder="1" applyAlignment="1">
      <alignment horizontal="left" vertical="center" wrapText="1"/>
    </xf>
    <xf numFmtId="165" fontId="0" fillId="0" borderId="0" xfId="1" applyNumberFormat="1" applyFont="1" applyFill="1" applyAlignment="1">
      <alignment vertical="center" wrapText="1"/>
    </xf>
    <xf numFmtId="165" fontId="1" fillId="0" borderId="0" xfId="0" applyNumberFormat="1" applyFont="1" applyAlignment="1">
      <alignment wrapText="1"/>
    </xf>
    <xf numFmtId="165" fontId="3" fillId="4" borderId="1" xfId="1" applyNumberFormat="1" applyFont="1" applyFill="1" applyBorder="1" applyAlignment="1">
      <alignment horizontal="center" vertical="center" wrapText="1"/>
    </xf>
    <xf numFmtId="165" fontId="5" fillId="0" borderId="0" xfId="1" applyNumberFormat="1" applyFont="1" applyFill="1" applyBorder="1" applyAlignment="1">
      <alignment vertical="center" wrapText="1"/>
    </xf>
    <xf numFmtId="165" fontId="7" fillId="3" borderId="4" xfId="1" applyNumberFormat="1" applyFont="1" applyFill="1" applyBorder="1" applyAlignment="1">
      <alignment vertical="center" wrapText="1"/>
    </xf>
    <xf numFmtId="165" fontId="0" fillId="0" borderId="1" xfId="1" applyNumberFormat="1" applyFont="1" applyFill="1" applyBorder="1" applyAlignment="1">
      <alignment vertical="center" wrapText="1"/>
    </xf>
    <xf numFmtId="165" fontId="1" fillId="0" borderId="1" xfId="1" applyNumberFormat="1" applyFont="1" applyFill="1" applyBorder="1" applyAlignment="1">
      <alignment vertical="center" wrapText="1"/>
    </xf>
    <xf numFmtId="165" fontId="0" fillId="0" borderId="0" xfId="1" applyNumberFormat="1" applyFont="1" applyFill="1" applyBorder="1" applyAlignment="1">
      <alignment vertical="center" wrapText="1"/>
    </xf>
    <xf numFmtId="49" fontId="34" fillId="0" borderId="1" xfId="2" applyNumberFormat="1" applyFont="1" applyFill="1" applyBorder="1" applyAlignment="1">
      <alignment vertical="center" wrapText="1"/>
    </xf>
    <xf numFmtId="165" fontId="0" fillId="0" borderId="1" xfId="1" applyNumberFormat="1" applyFont="1" applyBorder="1" applyAlignment="1">
      <alignment vertical="center" wrapText="1"/>
    </xf>
    <xf numFmtId="165" fontId="0" fillId="0" borderId="1" xfId="2" quotePrefix="1" applyNumberFormat="1" applyFont="1" applyFill="1" applyBorder="1" applyAlignment="1">
      <alignment horizontal="center" vertical="center" wrapText="1"/>
    </xf>
    <xf numFmtId="165" fontId="5" fillId="0" borderId="1" xfId="1" applyNumberFormat="1" applyFont="1" applyFill="1" applyBorder="1" applyAlignment="1">
      <alignment horizontal="center" vertical="center" wrapText="1"/>
    </xf>
    <xf numFmtId="165" fontId="5" fillId="0" borderId="1" xfId="1" applyNumberFormat="1" applyFont="1" applyBorder="1" applyAlignment="1">
      <alignment vertical="center" wrapText="1"/>
    </xf>
    <xf numFmtId="165" fontId="5" fillId="0" borderId="1" xfId="1" applyNumberFormat="1" applyFont="1" applyFill="1" applyBorder="1" applyAlignment="1">
      <alignment vertical="center" wrapText="1"/>
    </xf>
    <xf numFmtId="165" fontId="9" fillId="3" borderId="4" xfId="1" applyNumberFormat="1" applyFont="1" applyFill="1" applyBorder="1" applyAlignment="1">
      <alignment vertical="center" wrapText="1"/>
    </xf>
    <xf numFmtId="165" fontId="0" fillId="0" borderId="0" xfId="1" applyNumberFormat="1" applyFont="1" applyAlignment="1">
      <alignment vertical="center" wrapText="1"/>
    </xf>
    <xf numFmtId="165" fontId="2" fillId="0" borderId="1" xfId="1" applyNumberFormat="1" applyFont="1" applyFill="1" applyBorder="1" applyAlignment="1">
      <alignment vertical="center" wrapText="1"/>
    </xf>
    <xf numFmtId="165" fontId="2" fillId="0" borderId="0" xfId="1" applyNumberFormat="1" applyFont="1" applyFill="1" applyBorder="1" applyAlignment="1">
      <alignment vertical="center" wrapText="1"/>
    </xf>
    <xf numFmtId="49" fontId="30" fillId="0" borderId="2" xfId="0" applyNumberFormat="1" applyFont="1" applyBorder="1" applyAlignment="1">
      <alignment horizontal="left" wrapText="1"/>
    </xf>
    <xf numFmtId="49" fontId="35" fillId="0" borderId="1" xfId="2" applyNumberFormat="1" applyFont="1" applyFill="1" applyBorder="1" applyAlignment="1">
      <alignment vertical="center" wrapText="1"/>
    </xf>
    <xf numFmtId="49" fontId="0" fillId="0" borderId="0" xfId="2" applyNumberFormat="1" applyFont="1" applyAlignment="1">
      <alignment horizontal="center" vertical="center"/>
    </xf>
    <xf numFmtId="49" fontId="2" fillId="0" borderId="0" xfId="2" applyNumberFormat="1" applyFont="1" applyAlignment="1">
      <alignment horizontal="center" vertical="center"/>
    </xf>
    <xf numFmtId="49" fontId="14" fillId="0" borderId="0" xfId="0" applyNumberFormat="1" applyFont="1" applyAlignment="1">
      <alignment horizontal="left" wrapText="1"/>
    </xf>
    <xf numFmtId="49" fontId="12" fillId="0" borderId="0" xfId="0" applyNumberFormat="1" applyFont="1" applyAlignment="1">
      <alignment horizontal="left" wrapText="1"/>
    </xf>
    <xf numFmtId="49" fontId="14" fillId="0" borderId="2" xfId="0" applyNumberFormat="1" applyFont="1" applyBorder="1" applyAlignment="1">
      <alignment horizontal="left" wrapText="1"/>
    </xf>
    <xf numFmtId="49" fontId="30" fillId="3" borderId="3" xfId="2" applyNumberFormat="1" applyFont="1" applyFill="1" applyBorder="1" applyAlignment="1">
      <alignment horizontal="left" wrapText="1"/>
    </xf>
    <xf numFmtId="49" fontId="30" fillId="3" borderId="4" xfId="2" applyNumberFormat="1" applyFont="1" applyFill="1" applyBorder="1" applyAlignment="1">
      <alignment horizontal="left" wrapText="1"/>
    </xf>
    <xf numFmtId="49" fontId="30" fillId="0" borderId="2" xfId="0" applyNumberFormat="1" applyFont="1" applyBorder="1" applyAlignment="1">
      <alignment horizontal="left" wrapText="1"/>
    </xf>
    <xf numFmtId="164" fontId="25" fillId="0" borderId="0" xfId="2" applyNumberFormat="1" applyFont="1" applyFill="1" applyAlignment="1">
      <alignment horizontal="center" vertical="center"/>
    </xf>
    <xf numFmtId="164" fontId="25" fillId="12" borderId="0" xfId="2" applyNumberFormat="1" applyFont="1" applyFill="1" applyAlignment="1">
      <alignment horizontal="center" vertical="center"/>
    </xf>
  </cellXfs>
  <cellStyles count="9">
    <cellStyle name="60% - Accent6" xfId="7" builtinId="52"/>
    <cellStyle name="Accent2" xfId="3" builtinId="33"/>
    <cellStyle name="Accent3" xfId="4" builtinId="37"/>
    <cellStyle name="Accent5" xfId="5" builtinId="45"/>
    <cellStyle name="Accent6" xfId="6" builtinId="49"/>
    <cellStyle name="Comma" xfId="1" builtinId="3"/>
    <cellStyle name="Currency" xfId="2" builtinId="4"/>
    <cellStyle name="Normal" xfId="0" builtinId="0"/>
    <cellStyle name="Normal 2" xfId="8" xr:uid="{3BE2E22E-1AD5-40A9-9B98-5FBB003789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4:F183"/>
  <sheetViews>
    <sheetView zoomScale="120" zoomScaleNormal="120" zoomScaleSheetLayoutView="90" workbookViewId="0">
      <pane xSplit="3" ySplit="7" topLeftCell="D13" activePane="bottomRight" state="frozen"/>
      <selection activeCell="A31" sqref="A31"/>
      <selection pane="topRight" activeCell="A31" sqref="A31"/>
      <selection pane="bottomLeft" activeCell="A31" sqref="A31"/>
      <selection pane="bottomRight" activeCell="A5" sqref="A5"/>
    </sheetView>
  </sheetViews>
  <sheetFormatPr defaultColWidth="13.7265625" defaultRowHeight="15.5" x14ac:dyDescent="0.35"/>
  <cols>
    <col min="1" max="1" width="107.81640625" style="21" customWidth="1"/>
    <col min="2" max="2" width="14.7265625" style="21" customWidth="1"/>
    <col min="3" max="3" width="11.7265625" style="21" bestFit="1" customWidth="1"/>
    <col min="4" max="4" width="19.453125" style="21" bestFit="1" customWidth="1"/>
    <col min="5" max="5" width="21.7265625" style="29" bestFit="1" customWidth="1"/>
    <col min="6" max="6" width="10.26953125" style="188" customWidth="1"/>
    <col min="7" max="16384" width="13.7265625" style="1"/>
  </cols>
  <sheetData>
    <row r="4" spans="1:6" ht="26" x14ac:dyDescent="0.6">
      <c r="A4" s="33" t="s">
        <v>453</v>
      </c>
      <c r="B4" s="33"/>
      <c r="C4" s="33"/>
      <c r="D4" s="33"/>
      <c r="E4" s="23"/>
      <c r="F4" s="173"/>
    </row>
    <row r="5" spans="1:6" ht="18.5" x14ac:dyDescent="0.35">
      <c r="A5" s="59"/>
      <c r="B5" s="59"/>
      <c r="C5" s="59"/>
      <c r="D5" s="1"/>
      <c r="E5" s="1"/>
      <c r="F5" s="174"/>
    </row>
    <row r="6" spans="1:6" ht="21" x14ac:dyDescent="0.5">
      <c r="A6" s="12"/>
      <c r="B6" s="12"/>
      <c r="C6" s="12"/>
      <c r="D6" s="12"/>
      <c r="E6" s="12"/>
      <c r="F6" s="173"/>
    </row>
    <row r="7" spans="1:6" s="4" customFormat="1" ht="43.5" x14ac:dyDescent="0.35">
      <c r="A7" s="62"/>
      <c r="B7" s="61" t="s">
        <v>19</v>
      </c>
      <c r="C7" s="61" t="s">
        <v>20</v>
      </c>
      <c r="D7" s="24" t="s">
        <v>283</v>
      </c>
      <c r="E7" s="24" t="s">
        <v>284</v>
      </c>
      <c r="F7" s="175" t="s">
        <v>285</v>
      </c>
    </row>
    <row r="8" spans="1:6" ht="26" x14ac:dyDescent="0.6">
      <c r="A8" s="34" t="s">
        <v>33</v>
      </c>
      <c r="B8" s="34"/>
      <c r="C8" s="34"/>
      <c r="D8" s="63"/>
      <c r="E8" s="27"/>
      <c r="F8" s="176"/>
    </row>
    <row r="9" spans="1:6" x14ac:dyDescent="0.35">
      <c r="A9" s="195" t="s">
        <v>35</v>
      </c>
      <c r="B9" s="195"/>
      <c r="C9" s="195"/>
      <c r="D9" s="1"/>
      <c r="E9" s="1"/>
      <c r="F9" s="174"/>
    </row>
    <row r="10" spans="1:6" s="5" customFormat="1" ht="21" x14ac:dyDescent="0.5">
      <c r="A10" s="35" t="s">
        <v>36</v>
      </c>
      <c r="B10" s="54"/>
      <c r="C10" s="54"/>
      <c r="D10" s="54"/>
      <c r="E10" s="36"/>
      <c r="F10" s="177"/>
    </row>
    <row r="11" spans="1:6" x14ac:dyDescent="0.35">
      <c r="A11" s="17" t="s">
        <v>37</v>
      </c>
      <c r="B11" s="13" t="s">
        <v>38</v>
      </c>
      <c r="C11" s="13" t="s">
        <v>39</v>
      </c>
      <c r="D11" s="13" t="s">
        <v>286</v>
      </c>
      <c r="E11" s="13" t="s">
        <v>287</v>
      </c>
      <c r="F11" s="178">
        <v>0</v>
      </c>
    </row>
    <row r="12" spans="1:6" x14ac:dyDescent="0.35">
      <c r="A12" s="64" t="s">
        <v>41</v>
      </c>
      <c r="B12" s="55" t="s">
        <v>38</v>
      </c>
      <c r="C12" s="65" t="s">
        <v>42</v>
      </c>
      <c r="D12" s="65"/>
      <c r="E12" s="65"/>
      <c r="F12" s="179">
        <v>0</v>
      </c>
    </row>
    <row r="13" spans="1:6" x14ac:dyDescent="0.35">
      <c r="A13" s="15"/>
      <c r="B13" s="15"/>
      <c r="C13" s="15"/>
      <c r="D13" s="15"/>
      <c r="E13" s="28"/>
      <c r="F13" s="180"/>
    </row>
    <row r="14" spans="1:6" s="5" customFormat="1" ht="21" x14ac:dyDescent="0.5">
      <c r="A14" s="35" t="s">
        <v>43</v>
      </c>
      <c r="B14" s="54"/>
      <c r="C14" s="54"/>
      <c r="D14" s="54"/>
      <c r="E14" s="36"/>
      <c r="F14" s="177"/>
    </row>
    <row r="15" spans="1:6" x14ac:dyDescent="0.35">
      <c r="A15" s="13" t="s">
        <v>44</v>
      </c>
      <c r="B15" s="55" t="s">
        <v>45</v>
      </c>
      <c r="C15" s="13" t="s">
        <v>46</v>
      </c>
      <c r="D15" s="13" t="s">
        <v>288</v>
      </c>
      <c r="E15" s="13" t="s">
        <v>289</v>
      </c>
      <c r="F15" s="179">
        <v>12</v>
      </c>
    </row>
    <row r="16" spans="1:6" x14ac:dyDescent="0.35">
      <c r="A16" s="13" t="s">
        <v>48</v>
      </c>
      <c r="B16" s="55" t="s">
        <v>45</v>
      </c>
      <c r="C16" s="13" t="s">
        <v>49</v>
      </c>
      <c r="D16" s="13" t="s">
        <v>288</v>
      </c>
      <c r="E16" s="13" t="s">
        <v>290</v>
      </c>
      <c r="F16" s="179">
        <v>4</v>
      </c>
    </row>
    <row r="17" spans="1:6" x14ac:dyDescent="0.35">
      <c r="A17" s="13" t="s">
        <v>50</v>
      </c>
      <c r="B17" s="55" t="s">
        <v>45</v>
      </c>
      <c r="C17" s="13" t="s">
        <v>51</v>
      </c>
      <c r="D17" s="13" t="s">
        <v>286</v>
      </c>
      <c r="E17" s="13" t="s">
        <v>287</v>
      </c>
      <c r="F17" s="179">
        <v>0.75</v>
      </c>
    </row>
    <row r="18" spans="1:6" x14ac:dyDescent="0.35">
      <c r="A18" s="13" t="s">
        <v>52</v>
      </c>
      <c r="B18" s="55" t="s">
        <v>45</v>
      </c>
      <c r="C18" s="13" t="s">
        <v>53</v>
      </c>
      <c r="D18" s="13" t="s">
        <v>286</v>
      </c>
      <c r="E18" s="13" t="s">
        <v>287</v>
      </c>
      <c r="F18" s="179">
        <v>1</v>
      </c>
    </row>
    <row r="19" spans="1:6" x14ac:dyDescent="0.35">
      <c r="A19" s="13" t="s">
        <v>54</v>
      </c>
      <c r="B19" s="55" t="s">
        <v>45</v>
      </c>
      <c r="C19" s="13" t="s">
        <v>55</v>
      </c>
      <c r="D19" s="13" t="s">
        <v>286</v>
      </c>
      <c r="E19" s="13" t="s">
        <v>287</v>
      </c>
      <c r="F19" s="179">
        <v>2.25</v>
      </c>
    </row>
    <row r="20" spans="1:6" x14ac:dyDescent="0.35">
      <c r="A20" s="13" t="s">
        <v>56</v>
      </c>
      <c r="B20" s="55" t="s">
        <v>45</v>
      </c>
      <c r="C20" s="13" t="s">
        <v>57</v>
      </c>
      <c r="D20" s="65" t="s">
        <v>286</v>
      </c>
      <c r="E20" s="65" t="s">
        <v>291</v>
      </c>
      <c r="F20" s="179">
        <v>0</v>
      </c>
    </row>
    <row r="21" spans="1:6" x14ac:dyDescent="0.35">
      <c r="A21" s="13" t="s">
        <v>58</v>
      </c>
      <c r="B21" s="55" t="s">
        <v>45</v>
      </c>
      <c r="C21" s="13" t="s">
        <v>59</v>
      </c>
      <c r="D21" s="65" t="s">
        <v>286</v>
      </c>
      <c r="E21" s="65" t="s">
        <v>287</v>
      </c>
      <c r="F21" s="179">
        <v>0</v>
      </c>
    </row>
    <row r="22" spans="1:6" x14ac:dyDescent="0.35">
      <c r="A22" s="13" t="s">
        <v>60</v>
      </c>
      <c r="B22" s="55" t="s">
        <v>45</v>
      </c>
      <c r="C22" s="13" t="s">
        <v>61</v>
      </c>
      <c r="D22" s="65" t="s">
        <v>288</v>
      </c>
      <c r="E22" s="65" t="s">
        <v>289</v>
      </c>
      <c r="F22" s="179">
        <v>0</v>
      </c>
    </row>
    <row r="23" spans="1:6" x14ac:dyDescent="0.35">
      <c r="A23" s="13" t="s">
        <v>62</v>
      </c>
      <c r="B23" s="55" t="s">
        <v>45</v>
      </c>
      <c r="C23" s="13" t="s">
        <v>63</v>
      </c>
      <c r="D23" s="65" t="s">
        <v>288</v>
      </c>
      <c r="E23" s="65" t="s">
        <v>289</v>
      </c>
      <c r="F23" s="179">
        <v>1</v>
      </c>
    </row>
    <row r="24" spans="1:6" x14ac:dyDescent="0.35">
      <c r="A24" s="13" t="s">
        <v>64</v>
      </c>
      <c r="B24" s="55" t="s">
        <v>45</v>
      </c>
      <c r="C24" s="13" t="s">
        <v>65</v>
      </c>
      <c r="D24" s="65" t="s">
        <v>286</v>
      </c>
      <c r="E24" s="65" t="s">
        <v>291</v>
      </c>
      <c r="F24" s="179">
        <v>0</v>
      </c>
    </row>
    <row r="25" spans="1:6" x14ac:dyDescent="0.35">
      <c r="A25" s="17" t="s">
        <v>66</v>
      </c>
      <c r="B25" s="13" t="s">
        <v>45</v>
      </c>
      <c r="C25" s="13" t="s">
        <v>67</v>
      </c>
      <c r="D25" s="55" t="s">
        <v>286</v>
      </c>
      <c r="E25" s="181" t="s">
        <v>292</v>
      </c>
      <c r="F25" s="178">
        <v>9</v>
      </c>
    </row>
    <row r="26" spans="1:6" x14ac:dyDescent="0.35">
      <c r="A26" s="18" t="s">
        <v>68</v>
      </c>
      <c r="B26" s="55" t="s">
        <v>45</v>
      </c>
      <c r="C26" s="55"/>
      <c r="D26" s="13" t="s">
        <v>288</v>
      </c>
      <c r="E26" s="13" t="s">
        <v>289</v>
      </c>
      <c r="F26" s="178"/>
    </row>
    <row r="27" spans="1:6" x14ac:dyDescent="0.35">
      <c r="A27" s="68"/>
      <c r="B27" s="69"/>
      <c r="C27" s="69"/>
      <c r="D27" s="15"/>
      <c r="E27" s="28"/>
      <c r="F27" s="180"/>
    </row>
    <row r="28" spans="1:6" s="5" customFormat="1" ht="21" x14ac:dyDescent="0.5">
      <c r="A28" s="35" t="s">
        <v>69</v>
      </c>
      <c r="B28" s="54"/>
      <c r="C28" s="54"/>
      <c r="D28" s="54"/>
      <c r="E28" s="36"/>
      <c r="F28" s="177"/>
    </row>
    <row r="29" spans="1:6" x14ac:dyDescent="0.35">
      <c r="A29" s="18" t="s">
        <v>70</v>
      </c>
      <c r="B29" s="55" t="s">
        <v>71</v>
      </c>
      <c r="C29" s="55" t="s">
        <v>72</v>
      </c>
      <c r="D29" s="65" t="s">
        <v>286</v>
      </c>
      <c r="E29" s="55" t="s">
        <v>293</v>
      </c>
      <c r="F29" s="178">
        <v>5.9370000000000003</v>
      </c>
    </row>
    <row r="30" spans="1:6" x14ac:dyDescent="0.35">
      <c r="A30" s="18" t="s">
        <v>74</v>
      </c>
      <c r="B30" s="55" t="s">
        <v>71</v>
      </c>
      <c r="C30" s="55" t="s">
        <v>75</v>
      </c>
      <c r="D30" s="65" t="s">
        <v>286</v>
      </c>
      <c r="E30" s="55" t="s">
        <v>293</v>
      </c>
      <c r="F30" s="182">
        <v>1.5</v>
      </c>
    </row>
    <row r="31" spans="1:6" x14ac:dyDescent="0.35">
      <c r="A31" s="18" t="s">
        <v>76</v>
      </c>
      <c r="B31" s="55" t="s">
        <v>71</v>
      </c>
      <c r="C31" s="55" t="s">
        <v>77</v>
      </c>
      <c r="D31" s="65" t="s">
        <v>286</v>
      </c>
      <c r="E31" s="55" t="s">
        <v>293</v>
      </c>
      <c r="F31" s="182">
        <v>2</v>
      </c>
    </row>
    <row r="32" spans="1:6" x14ac:dyDescent="0.35">
      <c r="A32" s="18" t="s">
        <v>78</v>
      </c>
      <c r="B32" s="55" t="s">
        <v>71</v>
      </c>
      <c r="C32" s="55" t="s">
        <v>79</v>
      </c>
      <c r="D32" s="65" t="s">
        <v>286</v>
      </c>
      <c r="E32" s="55" t="s">
        <v>293</v>
      </c>
      <c r="F32" s="178">
        <v>3.5</v>
      </c>
    </row>
    <row r="33" spans="1:6" x14ac:dyDescent="0.35">
      <c r="A33" s="15"/>
      <c r="B33" s="15"/>
      <c r="C33" s="15"/>
      <c r="D33" s="15"/>
      <c r="E33" s="28"/>
      <c r="F33" s="180"/>
    </row>
    <row r="34" spans="1:6" s="5" customFormat="1" ht="21" x14ac:dyDescent="0.5">
      <c r="A34" s="35" t="s">
        <v>80</v>
      </c>
      <c r="B34" s="54"/>
      <c r="C34" s="54"/>
      <c r="D34" s="54"/>
      <c r="E34" s="36"/>
      <c r="F34" s="177"/>
    </row>
    <row r="35" spans="1:6" x14ac:dyDescent="0.35">
      <c r="A35" s="19" t="s">
        <v>81</v>
      </c>
      <c r="B35" s="56" t="s">
        <v>82</v>
      </c>
      <c r="C35" s="14" t="s">
        <v>83</v>
      </c>
      <c r="D35" s="55" t="s">
        <v>286</v>
      </c>
      <c r="E35" s="13" t="s">
        <v>294</v>
      </c>
      <c r="F35" s="178">
        <v>0</v>
      </c>
    </row>
    <row r="36" spans="1:6" x14ac:dyDescent="0.35">
      <c r="A36" s="15"/>
      <c r="B36" s="15"/>
      <c r="C36" s="15"/>
      <c r="D36" s="15"/>
      <c r="E36" s="28"/>
      <c r="F36" s="180"/>
    </row>
    <row r="37" spans="1:6" s="5" customFormat="1" ht="21" x14ac:dyDescent="0.5">
      <c r="A37" s="35" t="s">
        <v>84</v>
      </c>
      <c r="B37" s="54"/>
      <c r="C37" s="54"/>
      <c r="D37" s="54"/>
      <c r="E37" s="36"/>
      <c r="F37" s="177"/>
    </row>
    <row r="38" spans="1:6" x14ac:dyDescent="0.35">
      <c r="A38" s="3" t="s">
        <v>85</v>
      </c>
      <c r="B38" s="56" t="s">
        <v>86</v>
      </c>
      <c r="C38" s="56" t="s">
        <v>87</v>
      </c>
      <c r="D38" s="55" t="s">
        <v>286</v>
      </c>
      <c r="E38" s="13" t="s">
        <v>294</v>
      </c>
      <c r="F38" s="178">
        <v>0</v>
      </c>
    </row>
    <row r="39" spans="1:6" x14ac:dyDescent="0.35">
      <c r="A39" s="13" t="s">
        <v>88</v>
      </c>
      <c r="B39" s="56" t="s">
        <v>86</v>
      </c>
      <c r="C39" s="13" t="s">
        <v>89</v>
      </c>
      <c r="D39" s="55" t="s">
        <v>286</v>
      </c>
      <c r="E39" s="13" t="s">
        <v>324</v>
      </c>
      <c r="F39" s="178">
        <v>0</v>
      </c>
    </row>
    <row r="40" spans="1:6" x14ac:dyDescent="0.35">
      <c r="A40" s="18" t="s">
        <v>90</v>
      </c>
      <c r="B40" s="56" t="s">
        <v>86</v>
      </c>
      <c r="C40" s="55" t="s">
        <v>79</v>
      </c>
      <c r="D40" s="55" t="s">
        <v>286</v>
      </c>
      <c r="E40" s="13" t="s">
        <v>291</v>
      </c>
      <c r="F40" s="178">
        <v>3</v>
      </c>
    </row>
    <row r="41" spans="1:6" x14ac:dyDescent="0.35">
      <c r="A41" s="15"/>
      <c r="B41" s="15"/>
      <c r="C41" s="15"/>
      <c r="D41" s="15"/>
      <c r="E41" s="28"/>
      <c r="F41" s="180"/>
    </row>
    <row r="42" spans="1:6" s="5" customFormat="1" ht="21" x14ac:dyDescent="0.5">
      <c r="A42" s="35" t="s">
        <v>91</v>
      </c>
      <c r="B42" s="54"/>
      <c r="C42" s="54"/>
      <c r="D42" s="54"/>
      <c r="E42" s="36"/>
      <c r="F42" s="177"/>
    </row>
    <row r="43" spans="1:6" x14ac:dyDescent="0.35">
      <c r="A43" s="13" t="s">
        <v>92</v>
      </c>
      <c r="B43" s="57" t="s">
        <v>280</v>
      </c>
      <c r="C43" s="57" t="s">
        <v>94</v>
      </c>
      <c r="D43" s="30" t="s">
        <v>288</v>
      </c>
      <c r="E43" s="13" t="s">
        <v>292</v>
      </c>
      <c r="F43" s="183" t="s">
        <v>47</v>
      </c>
    </row>
    <row r="44" spans="1:6" ht="43.5" x14ac:dyDescent="0.35">
      <c r="A44" s="30" t="s">
        <v>95</v>
      </c>
      <c r="B44" s="55" t="s">
        <v>93</v>
      </c>
      <c r="C44" s="30" t="s">
        <v>96</v>
      </c>
      <c r="D44" s="30" t="s">
        <v>286</v>
      </c>
      <c r="E44" s="13" t="s">
        <v>295</v>
      </c>
      <c r="F44" s="178">
        <v>2</v>
      </c>
    </row>
    <row r="45" spans="1:6" ht="43.5" x14ac:dyDescent="0.35">
      <c r="A45" s="30" t="s">
        <v>97</v>
      </c>
      <c r="B45" s="55" t="s">
        <v>101</v>
      </c>
      <c r="C45" s="30" t="s">
        <v>98</v>
      </c>
      <c r="D45" s="13" t="s">
        <v>286</v>
      </c>
      <c r="E45" s="13" t="s">
        <v>296</v>
      </c>
      <c r="F45" s="178">
        <v>0</v>
      </c>
    </row>
    <row r="46" spans="1:6" x14ac:dyDescent="0.35">
      <c r="A46" s="15"/>
      <c r="B46" s="15"/>
      <c r="C46" s="15"/>
      <c r="D46" s="15"/>
      <c r="E46" s="28"/>
      <c r="F46" s="180"/>
    </row>
    <row r="47" spans="1:6" s="5" customFormat="1" ht="21" x14ac:dyDescent="0.5">
      <c r="A47" s="35" t="s">
        <v>99</v>
      </c>
      <c r="B47" s="54"/>
      <c r="C47" s="54"/>
      <c r="D47" s="54"/>
      <c r="E47" s="36"/>
      <c r="F47" s="177"/>
    </row>
    <row r="48" spans="1:6" x14ac:dyDescent="0.35">
      <c r="A48" s="13" t="s">
        <v>100</v>
      </c>
      <c r="B48" s="55" t="s">
        <v>101</v>
      </c>
      <c r="C48" s="13" t="s">
        <v>102</v>
      </c>
      <c r="D48" s="13" t="s">
        <v>286</v>
      </c>
      <c r="E48" s="13" t="s">
        <v>297</v>
      </c>
      <c r="F48" s="178">
        <v>4.8</v>
      </c>
    </row>
    <row r="49" spans="1:6" s="2" customFormat="1" x14ac:dyDescent="0.35">
      <c r="A49" s="13" t="s">
        <v>103</v>
      </c>
      <c r="B49" s="13" t="s">
        <v>101</v>
      </c>
      <c r="C49" s="13" t="s">
        <v>104</v>
      </c>
      <c r="D49" s="13" t="s">
        <v>286</v>
      </c>
      <c r="E49" s="13" t="s">
        <v>292</v>
      </c>
      <c r="F49" s="184">
        <v>0</v>
      </c>
    </row>
    <row r="50" spans="1:6" s="2" customFormat="1" x14ac:dyDescent="0.35">
      <c r="A50" s="13" t="s">
        <v>105</v>
      </c>
      <c r="B50" s="57" t="s">
        <v>101</v>
      </c>
      <c r="C50" s="57" t="s">
        <v>106</v>
      </c>
      <c r="D50" s="38" t="s">
        <v>288</v>
      </c>
      <c r="E50" s="37" t="s">
        <v>292</v>
      </c>
      <c r="F50" s="184">
        <v>0</v>
      </c>
    </row>
    <row r="51" spans="1:6" x14ac:dyDescent="0.35">
      <c r="A51" s="13" t="s">
        <v>107</v>
      </c>
      <c r="B51" s="57" t="s">
        <v>101</v>
      </c>
      <c r="C51" s="57" t="s">
        <v>108</v>
      </c>
      <c r="D51" s="30" t="s">
        <v>288</v>
      </c>
      <c r="E51" s="13" t="s">
        <v>298</v>
      </c>
      <c r="F51" s="183" t="s">
        <v>299</v>
      </c>
    </row>
    <row r="52" spans="1:6" x14ac:dyDescent="0.35">
      <c r="A52" s="13" t="s">
        <v>109</v>
      </c>
      <c r="B52" s="55" t="s">
        <v>101</v>
      </c>
      <c r="C52" s="13" t="s">
        <v>110</v>
      </c>
      <c r="D52" s="30" t="s">
        <v>286</v>
      </c>
      <c r="E52" s="13" t="s">
        <v>300</v>
      </c>
      <c r="F52" s="183"/>
    </row>
    <row r="53" spans="1:6" x14ac:dyDescent="0.35">
      <c r="A53" s="38" t="s">
        <v>111</v>
      </c>
      <c r="B53" s="55" t="s">
        <v>101</v>
      </c>
      <c r="C53" s="38" t="s">
        <v>79</v>
      </c>
      <c r="D53" s="30" t="s">
        <v>286</v>
      </c>
      <c r="E53" s="13" t="s">
        <v>300</v>
      </c>
      <c r="F53" s="183" t="s">
        <v>40</v>
      </c>
    </row>
    <row r="54" spans="1:6" x14ac:dyDescent="0.35">
      <c r="A54" s="30" t="s">
        <v>112</v>
      </c>
      <c r="B54" s="55" t="s">
        <v>101</v>
      </c>
      <c r="C54" s="30" t="s">
        <v>113</v>
      </c>
      <c r="D54" s="30" t="s">
        <v>286</v>
      </c>
      <c r="E54" s="13" t="s">
        <v>298</v>
      </c>
      <c r="F54" s="183" t="s">
        <v>73</v>
      </c>
    </row>
    <row r="55" spans="1:6" x14ac:dyDescent="0.35">
      <c r="A55" s="18" t="s">
        <v>114</v>
      </c>
      <c r="B55" s="55" t="s">
        <v>101</v>
      </c>
      <c r="C55" s="55"/>
      <c r="D55" s="30" t="s">
        <v>286</v>
      </c>
      <c r="E55" s="13" t="s">
        <v>293</v>
      </c>
      <c r="F55" s="183"/>
    </row>
    <row r="56" spans="1:6" x14ac:dyDescent="0.35">
      <c r="A56" s="18" t="s">
        <v>115</v>
      </c>
      <c r="B56" s="55" t="s">
        <v>101</v>
      </c>
      <c r="C56" s="55"/>
      <c r="D56" s="30" t="s">
        <v>286</v>
      </c>
      <c r="E56" s="13" t="s">
        <v>298</v>
      </c>
      <c r="F56" s="183" t="s">
        <v>40</v>
      </c>
    </row>
    <row r="57" spans="1:6" x14ac:dyDescent="0.35">
      <c r="A57" s="13" t="s">
        <v>116</v>
      </c>
      <c r="B57" s="58" t="s">
        <v>101</v>
      </c>
      <c r="C57" s="58"/>
      <c r="D57" s="30" t="s">
        <v>288</v>
      </c>
      <c r="E57" s="13" t="s">
        <v>292</v>
      </c>
      <c r="F57" s="183" t="s">
        <v>299</v>
      </c>
    </row>
    <row r="58" spans="1:6" x14ac:dyDescent="0.35">
      <c r="A58" s="13" t="s">
        <v>117</v>
      </c>
      <c r="B58" s="58" t="s">
        <v>101</v>
      </c>
      <c r="C58" s="58"/>
      <c r="D58" s="30" t="s">
        <v>288</v>
      </c>
      <c r="E58" s="13" t="s">
        <v>292</v>
      </c>
      <c r="F58" s="183"/>
    </row>
    <row r="59" spans="1:6" x14ac:dyDescent="0.35">
      <c r="A59" s="15"/>
      <c r="B59" s="15"/>
      <c r="C59" s="15"/>
      <c r="D59" s="15"/>
      <c r="E59" s="28"/>
      <c r="F59" s="180"/>
    </row>
    <row r="60" spans="1:6" s="5" customFormat="1" ht="21" x14ac:dyDescent="0.5">
      <c r="A60" s="35" t="s">
        <v>119</v>
      </c>
      <c r="B60" s="54"/>
      <c r="C60" s="54"/>
      <c r="D60" s="54"/>
      <c r="E60" s="36"/>
      <c r="F60" s="177"/>
    </row>
    <row r="61" spans="1:6" s="2" customFormat="1" x14ac:dyDescent="0.35">
      <c r="A61" s="20" t="s">
        <v>120</v>
      </c>
      <c r="B61" s="55" t="s">
        <v>86</v>
      </c>
      <c r="C61" s="20" t="s">
        <v>121</v>
      </c>
      <c r="D61" s="20" t="s">
        <v>288</v>
      </c>
      <c r="E61" s="13" t="s">
        <v>301</v>
      </c>
      <c r="F61" s="185">
        <v>0</v>
      </c>
    </row>
    <row r="62" spans="1:6" s="2" customFormat="1" x14ac:dyDescent="0.35">
      <c r="A62" s="20" t="s">
        <v>122</v>
      </c>
      <c r="B62" s="55" t="s">
        <v>86</v>
      </c>
      <c r="C62" s="20" t="s">
        <v>123</v>
      </c>
      <c r="D62" s="20" t="s">
        <v>288</v>
      </c>
      <c r="E62" s="13" t="s">
        <v>301</v>
      </c>
      <c r="F62" s="186">
        <v>0</v>
      </c>
    </row>
    <row r="63" spans="1:6" s="2" customFormat="1" x14ac:dyDescent="0.35">
      <c r="A63" s="20" t="s">
        <v>124</v>
      </c>
      <c r="B63" s="55" t="s">
        <v>86</v>
      </c>
      <c r="C63" s="20"/>
      <c r="D63" s="20" t="s">
        <v>286</v>
      </c>
      <c r="E63" s="13" t="s">
        <v>302</v>
      </c>
      <c r="F63" s="186">
        <v>0</v>
      </c>
    </row>
    <row r="64" spans="1:6" x14ac:dyDescent="0.35">
      <c r="A64" s="15"/>
      <c r="B64" s="15"/>
      <c r="C64" s="15"/>
      <c r="D64" s="15"/>
      <c r="E64" s="28"/>
      <c r="F64" s="180"/>
    </row>
    <row r="65" spans="1:6" s="5" customFormat="1" ht="21" x14ac:dyDescent="0.5">
      <c r="A65" s="35" t="s">
        <v>125</v>
      </c>
      <c r="B65" s="54"/>
      <c r="C65" s="54"/>
      <c r="D65" s="54"/>
      <c r="E65" s="25"/>
      <c r="F65" s="187"/>
    </row>
    <row r="66" spans="1:6" x14ac:dyDescent="0.35">
      <c r="A66" s="13" t="s">
        <v>126</v>
      </c>
      <c r="B66" s="13" t="s">
        <v>127</v>
      </c>
      <c r="C66" s="13" t="s">
        <v>128</v>
      </c>
      <c r="D66" s="13" t="s">
        <v>303</v>
      </c>
      <c r="E66" s="13" t="s">
        <v>304</v>
      </c>
      <c r="F66" s="178">
        <v>0</v>
      </c>
    </row>
    <row r="67" spans="1:6" x14ac:dyDescent="0.35">
      <c r="A67" s="13" t="s">
        <v>129</v>
      </c>
      <c r="B67" s="13" t="s">
        <v>127</v>
      </c>
      <c r="C67" s="13" t="s">
        <v>130</v>
      </c>
      <c r="D67" s="13" t="s">
        <v>286</v>
      </c>
      <c r="E67" s="13" t="s">
        <v>305</v>
      </c>
      <c r="F67" s="178">
        <v>0</v>
      </c>
    </row>
    <row r="68" spans="1:6" x14ac:dyDescent="0.35">
      <c r="A68" s="18" t="s">
        <v>131</v>
      </c>
      <c r="B68" s="13" t="s">
        <v>127</v>
      </c>
      <c r="C68" s="13" t="s">
        <v>132</v>
      </c>
      <c r="D68" s="13" t="s">
        <v>286</v>
      </c>
      <c r="E68" s="13" t="s">
        <v>305</v>
      </c>
      <c r="F68" s="182">
        <v>0</v>
      </c>
    </row>
    <row r="69" spans="1:6" x14ac:dyDescent="0.35">
      <c r="A69" s="15"/>
      <c r="B69" s="15"/>
      <c r="C69" s="15"/>
      <c r="D69" s="15"/>
      <c r="E69" s="28"/>
      <c r="F69" s="180"/>
    </row>
    <row r="70" spans="1:6" x14ac:dyDescent="0.35">
      <c r="A70" s="16"/>
      <c r="B70" s="16"/>
      <c r="C70" s="16"/>
      <c r="D70" s="16"/>
      <c r="E70" s="27"/>
      <c r="F70" s="176"/>
    </row>
    <row r="71" spans="1:6" ht="26" x14ac:dyDescent="0.6">
      <c r="A71" s="196" t="s">
        <v>133</v>
      </c>
      <c r="B71" s="196"/>
      <c r="C71" s="196"/>
      <c r="D71" s="1"/>
      <c r="E71" s="1"/>
      <c r="F71" s="174"/>
    </row>
    <row r="72" spans="1:6" ht="20.25" customHeight="1" x14ac:dyDescent="0.35">
      <c r="A72" s="197" t="s">
        <v>135</v>
      </c>
      <c r="B72" s="197"/>
      <c r="C72" s="197"/>
      <c r="D72" s="1"/>
      <c r="E72" s="1"/>
      <c r="F72" s="174"/>
    </row>
    <row r="73" spans="1:6" ht="18.5" x14ac:dyDescent="0.45">
      <c r="A73" s="35" t="s">
        <v>136</v>
      </c>
      <c r="B73" s="54"/>
      <c r="C73" s="54"/>
      <c r="D73" s="54"/>
      <c r="E73" s="36"/>
      <c r="F73" s="177"/>
    </row>
    <row r="74" spans="1:6" x14ac:dyDescent="0.35">
      <c r="A74" s="13" t="s">
        <v>137</v>
      </c>
      <c r="B74" s="13" t="s">
        <v>138</v>
      </c>
      <c r="C74" s="13" t="s">
        <v>139</v>
      </c>
      <c r="D74" s="13" t="s">
        <v>286</v>
      </c>
      <c r="E74" s="37" t="s">
        <v>293</v>
      </c>
      <c r="F74" s="186">
        <v>1</v>
      </c>
    </row>
    <row r="75" spans="1:6" x14ac:dyDescent="0.35">
      <c r="A75" s="13" t="s">
        <v>140</v>
      </c>
      <c r="B75" s="13" t="s">
        <v>138</v>
      </c>
      <c r="C75" s="13" t="s">
        <v>141</v>
      </c>
      <c r="D75" s="13" t="s">
        <v>288</v>
      </c>
      <c r="E75" s="37" t="s">
        <v>306</v>
      </c>
      <c r="F75" s="186">
        <v>0</v>
      </c>
    </row>
    <row r="76" spans="1:6" x14ac:dyDescent="0.35">
      <c r="A76" s="13" t="s">
        <v>142</v>
      </c>
      <c r="B76" s="13" t="s">
        <v>138</v>
      </c>
      <c r="C76" s="13" t="s">
        <v>143</v>
      </c>
      <c r="D76" s="13" t="s">
        <v>286</v>
      </c>
      <c r="E76" s="37" t="s">
        <v>293</v>
      </c>
      <c r="F76" s="186">
        <v>1.6</v>
      </c>
    </row>
    <row r="77" spans="1:6" x14ac:dyDescent="0.35">
      <c r="A77" s="15"/>
      <c r="B77" s="15"/>
      <c r="C77" s="15"/>
      <c r="D77" s="15"/>
      <c r="E77" s="28"/>
      <c r="F77" s="180"/>
    </row>
    <row r="78" spans="1:6" ht="18.5" x14ac:dyDescent="0.45">
      <c r="A78" s="35" t="s">
        <v>144</v>
      </c>
      <c r="B78" s="54"/>
      <c r="C78" s="54"/>
      <c r="D78" s="54"/>
      <c r="E78" s="36"/>
      <c r="F78" s="177"/>
    </row>
    <row r="79" spans="1:6" x14ac:dyDescent="0.35">
      <c r="A79" s="13" t="s">
        <v>145</v>
      </c>
      <c r="B79" s="13" t="s">
        <v>146</v>
      </c>
      <c r="C79" s="13" t="s">
        <v>147</v>
      </c>
      <c r="D79" s="13" t="s">
        <v>288</v>
      </c>
      <c r="E79" s="13" t="s">
        <v>307</v>
      </c>
      <c r="F79" s="186">
        <v>1</v>
      </c>
    </row>
    <row r="80" spans="1:6" x14ac:dyDescent="0.35">
      <c r="A80" s="13" t="s">
        <v>148</v>
      </c>
      <c r="B80" s="13" t="s">
        <v>146</v>
      </c>
      <c r="C80" s="13" t="s">
        <v>149</v>
      </c>
      <c r="D80" s="13" t="s">
        <v>288</v>
      </c>
      <c r="E80" s="13" t="s">
        <v>306</v>
      </c>
      <c r="F80" s="186">
        <v>2</v>
      </c>
    </row>
    <row r="81" spans="1:6" x14ac:dyDescent="0.35">
      <c r="A81" s="13" t="s">
        <v>150</v>
      </c>
      <c r="B81" s="13" t="s">
        <v>146</v>
      </c>
      <c r="C81" s="13" t="s">
        <v>151</v>
      </c>
      <c r="D81" s="13" t="s">
        <v>288</v>
      </c>
      <c r="E81" s="13" t="s">
        <v>308</v>
      </c>
      <c r="F81" s="186">
        <v>19</v>
      </c>
    </row>
    <row r="82" spans="1:6" x14ac:dyDescent="0.35">
      <c r="A82" s="15"/>
      <c r="B82" s="15"/>
      <c r="C82" s="15"/>
      <c r="D82" s="15"/>
      <c r="E82" s="28"/>
      <c r="F82" s="180"/>
    </row>
    <row r="83" spans="1:6" ht="18.5" x14ac:dyDescent="0.45">
      <c r="A83" s="35" t="s">
        <v>152</v>
      </c>
      <c r="B83" s="54"/>
      <c r="C83" s="54"/>
      <c r="D83" s="54"/>
      <c r="E83" s="36"/>
      <c r="F83" s="177"/>
    </row>
    <row r="84" spans="1:6" x14ac:dyDescent="0.35">
      <c r="A84" s="14" t="s">
        <v>153</v>
      </c>
      <c r="B84" s="14" t="s">
        <v>154</v>
      </c>
      <c r="C84" s="14" t="s">
        <v>155</v>
      </c>
      <c r="D84" s="14" t="s">
        <v>286</v>
      </c>
      <c r="E84" s="13" t="s">
        <v>309</v>
      </c>
      <c r="F84" s="178">
        <v>0</v>
      </c>
    </row>
    <row r="85" spans="1:6" ht="29" x14ac:dyDescent="0.35">
      <c r="A85" s="14" t="s">
        <v>156</v>
      </c>
      <c r="B85" s="14" t="s">
        <v>154</v>
      </c>
      <c r="C85" s="14" t="s">
        <v>157</v>
      </c>
      <c r="D85" s="14" t="s">
        <v>286</v>
      </c>
      <c r="E85" s="13" t="s">
        <v>310</v>
      </c>
      <c r="F85" s="178">
        <v>56</v>
      </c>
    </row>
    <row r="86" spans="1:6" x14ac:dyDescent="0.35">
      <c r="A86" s="70"/>
      <c r="B86" s="71"/>
      <c r="C86" s="71"/>
      <c r="D86" s="26"/>
      <c r="E86" s="26"/>
      <c r="F86" s="180"/>
    </row>
    <row r="87" spans="1:6" ht="18.5" x14ac:dyDescent="0.45">
      <c r="A87" s="35" t="s">
        <v>158</v>
      </c>
      <c r="B87" s="54"/>
      <c r="C87" s="54"/>
      <c r="D87" s="54"/>
      <c r="E87" s="36"/>
      <c r="F87" s="177"/>
    </row>
    <row r="88" spans="1:6" x14ac:dyDescent="0.35">
      <c r="A88" s="14" t="s">
        <v>159</v>
      </c>
      <c r="B88" s="14" t="s">
        <v>160</v>
      </c>
      <c r="C88" s="14" t="s">
        <v>161</v>
      </c>
      <c r="D88" s="14" t="s">
        <v>286</v>
      </c>
      <c r="E88" s="13" t="s">
        <v>309</v>
      </c>
      <c r="F88" s="178">
        <v>0</v>
      </c>
    </row>
    <row r="89" spans="1:6" ht="29" x14ac:dyDescent="0.35">
      <c r="A89" s="14" t="s">
        <v>156</v>
      </c>
      <c r="B89" s="14" t="s">
        <v>160</v>
      </c>
      <c r="C89" s="14" t="s">
        <v>157</v>
      </c>
      <c r="D89" s="14" t="s">
        <v>286</v>
      </c>
      <c r="E89" s="13" t="s">
        <v>310</v>
      </c>
      <c r="F89" s="178">
        <v>51</v>
      </c>
    </row>
    <row r="90" spans="1:6" x14ac:dyDescent="0.35">
      <c r="A90" s="14" t="s">
        <v>162</v>
      </c>
      <c r="B90" s="14" t="s">
        <v>160</v>
      </c>
      <c r="C90" s="14" t="s">
        <v>163</v>
      </c>
      <c r="D90" s="14" t="s">
        <v>286</v>
      </c>
      <c r="E90" s="13" t="s">
        <v>309</v>
      </c>
      <c r="F90" s="178">
        <v>2</v>
      </c>
    </row>
    <row r="91" spans="1:6" x14ac:dyDescent="0.35">
      <c r="A91" s="60"/>
      <c r="B91" s="60"/>
      <c r="C91" s="60"/>
      <c r="D91" s="1"/>
      <c r="E91" s="1"/>
      <c r="F91" s="174"/>
    </row>
    <row r="92" spans="1:6" ht="18.5" x14ac:dyDescent="0.45">
      <c r="A92" s="35" t="s">
        <v>164</v>
      </c>
      <c r="B92" s="54"/>
      <c r="C92" s="54"/>
      <c r="D92" s="54"/>
      <c r="E92" s="36"/>
      <c r="F92" s="177"/>
    </row>
    <row r="93" spans="1:6" x14ac:dyDescent="0.35">
      <c r="A93" s="22" t="s">
        <v>165</v>
      </c>
      <c r="B93" s="13" t="s">
        <v>166</v>
      </c>
      <c r="C93" s="22" t="s">
        <v>167</v>
      </c>
      <c r="D93" s="22" t="s">
        <v>288</v>
      </c>
      <c r="E93" s="13" t="s">
        <v>311</v>
      </c>
      <c r="F93" s="178">
        <v>3.6</v>
      </c>
    </row>
    <row r="94" spans="1:6" x14ac:dyDescent="0.35">
      <c r="A94" s="67"/>
      <c r="B94" s="67"/>
      <c r="C94" s="67"/>
      <c r="D94" s="67"/>
      <c r="E94" s="26"/>
      <c r="F94" s="180"/>
    </row>
    <row r="95" spans="1:6" ht="18.5" x14ac:dyDescent="0.45">
      <c r="A95" s="35" t="s">
        <v>168</v>
      </c>
      <c r="B95" s="54"/>
      <c r="C95" s="54"/>
      <c r="D95" s="54"/>
      <c r="E95" s="36"/>
      <c r="F95" s="177"/>
    </row>
    <row r="96" spans="1:6" x14ac:dyDescent="0.35">
      <c r="A96" s="22" t="s">
        <v>169</v>
      </c>
      <c r="B96" s="13" t="s">
        <v>170</v>
      </c>
      <c r="C96" s="22" t="s">
        <v>171</v>
      </c>
      <c r="D96" s="22" t="s">
        <v>288</v>
      </c>
      <c r="E96" s="13" t="s">
        <v>311</v>
      </c>
      <c r="F96" s="178">
        <v>7</v>
      </c>
    </row>
    <row r="97" spans="1:6" x14ac:dyDescent="0.35">
      <c r="A97" s="22" t="s">
        <v>172</v>
      </c>
      <c r="B97" s="13" t="s">
        <v>170</v>
      </c>
      <c r="C97" s="22" t="s">
        <v>173</v>
      </c>
      <c r="D97" s="22" t="s">
        <v>288</v>
      </c>
      <c r="E97" s="13" t="s">
        <v>311</v>
      </c>
      <c r="F97" s="178">
        <v>13</v>
      </c>
    </row>
    <row r="98" spans="1:6" x14ac:dyDescent="0.35">
      <c r="A98" s="15"/>
      <c r="B98" s="15"/>
      <c r="C98" s="15"/>
      <c r="D98" s="15"/>
      <c r="E98" s="28"/>
      <c r="F98" s="180"/>
    </row>
    <row r="99" spans="1:6" ht="18.5" x14ac:dyDescent="0.45">
      <c r="A99" s="35" t="s">
        <v>174</v>
      </c>
      <c r="B99" s="54"/>
      <c r="C99" s="54"/>
      <c r="D99" s="54"/>
      <c r="E99" s="36"/>
      <c r="F99" s="177"/>
    </row>
    <row r="100" spans="1:6" x14ac:dyDescent="0.35">
      <c r="A100" s="13" t="s">
        <v>175</v>
      </c>
      <c r="B100" s="13" t="s">
        <v>176</v>
      </c>
      <c r="C100" s="13" t="s">
        <v>79</v>
      </c>
      <c r="D100" s="13" t="s">
        <v>288</v>
      </c>
      <c r="E100" s="13" t="s">
        <v>312</v>
      </c>
      <c r="F100" s="178">
        <v>12</v>
      </c>
    </row>
    <row r="101" spans="1:6" x14ac:dyDescent="0.35">
      <c r="A101" s="13" t="s">
        <v>177</v>
      </c>
      <c r="B101" s="13" t="s">
        <v>176</v>
      </c>
      <c r="C101" s="13" t="s">
        <v>178</v>
      </c>
      <c r="D101" s="13" t="s">
        <v>288</v>
      </c>
      <c r="E101" s="13" t="s">
        <v>313</v>
      </c>
      <c r="F101" s="178">
        <v>25.749600000000001</v>
      </c>
    </row>
    <row r="102" spans="1:6" x14ac:dyDescent="0.35">
      <c r="A102" s="13" t="s">
        <v>179</v>
      </c>
      <c r="B102" s="13" t="s">
        <v>176</v>
      </c>
      <c r="C102" s="13" t="s">
        <v>180</v>
      </c>
      <c r="D102" s="13" t="s">
        <v>288</v>
      </c>
      <c r="E102" s="13" t="s">
        <v>313</v>
      </c>
      <c r="F102" s="178">
        <v>4</v>
      </c>
    </row>
    <row r="103" spans="1:6" x14ac:dyDescent="0.35">
      <c r="A103" s="13" t="s">
        <v>181</v>
      </c>
      <c r="B103" s="13" t="s">
        <v>176</v>
      </c>
      <c r="C103" s="13" t="s">
        <v>182</v>
      </c>
      <c r="D103" s="13" t="s">
        <v>288</v>
      </c>
      <c r="E103" s="13" t="s">
        <v>313</v>
      </c>
      <c r="F103" s="178">
        <v>1</v>
      </c>
    </row>
    <row r="104" spans="1:6" x14ac:dyDescent="0.35">
      <c r="A104" s="13" t="s">
        <v>183</v>
      </c>
      <c r="B104" s="13" t="s">
        <v>176</v>
      </c>
      <c r="C104" s="13" t="s">
        <v>184</v>
      </c>
      <c r="D104" s="13" t="s">
        <v>288</v>
      </c>
      <c r="E104" s="13" t="s">
        <v>313</v>
      </c>
      <c r="F104" s="178">
        <v>4</v>
      </c>
    </row>
    <row r="105" spans="1:6" x14ac:dyDescent="0.35">
      <c r="A105" s="13" t="s">
        <v>185</v>
      </c>
      <c r="B105" s="13" t="s">
        <v>176</v>
      </c>
      <c r="C105" s="13" t="s">
        <v>186</v>
      </c>
      <c r="D105" s="13" t="s">
        <v>288</v>
      </c>
      <c r="E105" s="13" t="s">
        <v>308</v>
      </c>
      <c r="F105" s="178">
        <v>26</v>
      </c>
    </row>
    <row r="106" spans="1:6" x14ac:dyDescent="0.35">
      <c r="A106" s="13" t="s">
        <v>187</v>
      </c>
      <c r="B106" s="13" t="s">
        <v>176</v>
      </c>
      <c r="C106" s="13" t="s">
        <v>188</v>
      </c>
      <c r="D106" s="13" t="s">
        <v>288</v>
      </c>
      <c r="E106" s="13" t="s">
        <v>306</v>
      </c>
      <c r="F106" s="178">
        <v>0</v>
      </c>
    </row>
    <row r="107" spans="1:6" x14ac:dyDescent="0.35">
      <c r="A107" s="13" t="s">
        <v>189</v>
      </c>
      <c r="B107" s="13" t="s">
        <v>176</v>
      </c>
      <c r="C107" s="13" t="s">
        <v>190</v>
      </c>
      <c r="D107" s="13" t="s">
        <v>288</v>
      </c>
      <c r="E107" s="13" t="s">
        <v>290</v>
      </c>
      <c r="F107" s="178">
        <v>90</v>
      </c>
    </row>
    <row r="108" spans="1:6" x14ac:dyDescent="0.35">
      <c r="A108" s="13" t="s">
        <v>191</v>
      </c>
      <c r="B108" s="13" t="s">
        <v>176</v>
      </c>
      <c r="C108" s="13" t="s">
        <v>192</v>
      </c>
      <c r="D108" s="13" t="s">
        <v>288</v>
      </c>
      <c r="E108" s="13" t="s">
        <v>290</v>
      </c>
      <c r="F108" s="178">
        <v>0</v>
      </c>
    </row>
    <row r="109" spans="1:6" x14ac:dyDescent="0.35">
      <c r="A109" s="13" t="s">
        <v>193</v>
      </c>
      <c r="B109" s="58" t="s">
        <v>314</v>
      </c>
      <c r="C109" s="58"/>
      <c r="D109" s="13" t="s">
        <v>288</v>
      </c>
      <c r="E109" s="13" t="s">
        <v>292</v>
      </c>
      <c r="F109" s="178">
        <v>2</v>
      </c>
    </row>
    <row r="110" spans="1:6" x14ac:dyDescent="0.35">
      <c r="A110" s="72"/>
      <c r="B110" s="73"/>
      <c r="C110" s="73"/>
      <c r="D110" s="15"/>
      <c r="E110" s="28"/>
      <c r="F110" s="180"/>
    </row>
    <row r="111" spans="1:6" ht="18.5" x14ac:dyDescent="0.45">
      <c r="A111" s="35" t="s">
        <v>194</v>
      </c>
      <c r="B111" s="54"/>
      <c r="C111" s="54"/>
      <c r="D111" s="54"/>
      <c r="E111" s="36"/>
      <c r="F111" s="177"/>
    </row>
    <row r="112" spans="1:6" x14ac:dyDescent="0.35">
      <c r="A112" s="13" t="s">
        <v>195</v>
      </c>
      <c r="B112" s="13" t="s">
        <v>196</v>
      </c>
      <c r="C112" s="13" t="s">
        <v>197</v>
      </c>
      <c r="D112" s="13" t="s">
        <v>315</v>
      </c>
      <c r="E112" s="13" t="s">
        <v>315</v>
      </c>
      <c r="F112" s="178"/>
    </row>
    <row r="113" spans="1:6" x14ac:dyDescent="0.35">
      <c r="A113" s="13" t="s">
        <v>198</v>
      </c>
      <c r="B113" s="13" t="s">
        <v>196</v>
      </c>
      <c r="C113" s="13" t="s">
        <v>199</v>
      </c>
      <c r="D113" s="13" t="s">
        <v>315</v>
      </c>
      <c r="E113" s="13" t="s">
        <v>315</v>
      </c>
      <c r="F113" s="178">
        <v>0.75</v>
      </c>
    </row>
    <row r="114" spans="1:6" x14ac:dyDescent="0.35">
      <c r="A114" s="13" t="s">
        <v>200</v>
      </c>
      <c r="B114" s="13" t="s">
        <v>196</v>
      </c>
      <c r="C114" s="13" t="s">
        <v>201</v>
      </c>
      <c r="D114" s="13" t="s">
        <v>286</v>
      </c>
      <c r="E114" s="13" t="s">
        <v>316</v>
      </c>
      <c r="F114" s="178"/>
    </row>
    <row r="115" spans="1:6" x14ac:dyDescent="0.35">
      <c r="A115" s="15"/>
      <c r="B115" s="15"/>
      <c r="C115" s="15"/>
      <c r="D115" s="15"/>
      <c r="E115" s="28"/>
      <c r="F115" s="180"/>
    </row>
    <row r="116" spans="1:6" ht="18.5" x14ac:dyDescent="0.45">
      <c r="A116" s="35" t="s">
        <v>202</v>
      </c>
      <c r="B116" s="54"/>
      <c r="C116" s="54"/>
      <c r="D116" s="54"/>
      <c r="E116" s="36"/>
      <c r="F116" s="177"/>
    </row>
    <row r="117" spans="1:6" x14ac:dyDescent="0.35">
      <c r="A117" s="13" t="s">
        <v>203</v>
      </c>
      <c r="B117" s="13" t="s">
        <v>204</v>
      </c>
      <c r="C117" s="13" t="s">
        <v>205</v>
      </c>
      <c r="D117" s="20" t="s">
        <v>315</v>
      </c>
      <c r="E117" s="13" t="s">
        <v>315</v>
      </c>
      <c r="F117" s="178"/>
    </row>
    <row r="118" spans="1:6" x14ac:dyDescent="0.35">
      <c r="A118" s="20" t="s">
        <v>206</v>
      </c>
      <c r="B118" s="20" t="s">
        <v>204</v>
      </c>
      <c r="C118" s="20" t="s">
        <v>207</v>
      </c>
      <c r="D118" s="13" t="s">
        <v>315</v>
      </c>
      <c r="E118" s="13" t="s">
        <v>317</v>
      </c>
      <c r="F118" s="178">
        <v>0</v>
      </c>
    </row>
    <row r="119" spans="1:6" x14ac:dyDescent="0.35">
      <c r="A119" s="15"/>
      <c r="B119" s="15"/>
      <c r="C119" s="15"/>
      <c r="D119" s="15"/>
      <c r="E119" s="28"/>
      <c r="F119" s="180"/>
    </row>
    <row r="120" spans="1:6" ht="18.5" x14ac:dyDescent="0.45">
      <c r="A120" s="35" t="s">
        <v>208</v>
      </c>
      <c r="B120" s="54"/>
      <c r="C120" s="54"/>
      <c r="D120" s="54"/>
      <c r="E120" s="36"/>
      <c r="F120" s="177"/>
    </row>
    <row r="121" spans="1:6" x14ac:dyDescent="0.35">
      <c r="A121" s="13" t="s">
        <v>209</v>
      </c>
      <c r="B121" s="13" t="s">
        <v>210</v>
      </c>
      <c r="C121" s="13" t="s">
        <v>211</v>
      </c>
      <c r="D121" s="13" t="s">
        <v>303</v>
      </c>
      <c r="E121" s="13" t="s">
        <v>304</v>
      </c>
      <c r="F121" s="178">
        <v>5</v>
      </c>
    </row>
    <row r="123" spans="1:6" ht="18.5" x14ac:dyDescent="0.45">
      <c r="A123" s="35" t="s">
        <v>212</v>
      </c>
      <c r="B123" s="54"/>
      <c r="C123" s="54"/>
      <c r="D123" s="54"/>
      <c r="E123" s="36"/>
      <c r="F123" s="177"/>
    </row>
    <row r="124" spans="1:6" ht="29" x14ac:dyDescent="0.35">
      <c r="A124" s="31" t="s">
        <v>213</v>
      </c>
      <c r="B124" s="31" t="s">
        <v>214</v>
      </c>
      <c r="C124" s="31" t="s">
        <v>215</v>
      </c>
      <c r="D124" s="31" t="s">
        <v>303</v>
      </c>
      <c r="E124" s="13" t="s">
        <v>318</v>
      </c>
      <c r="F124" s="178">
        <v>0</v>
      </c>
    </row>
    <row r="125" spans="1:6" x14ac:dyDescent="0.35">
      <c r="A125" s="15"/>
      <c r="B125" s="15"/>
      <c r="C125" s="15"/>
    </row>
    <row r="126" spans="1:6" ht="18.5" x14ac:dyDescent="0.45">
      <c r="A126" s="35" t="s">
        <v>216</v>
      </c>
      <c r="B126" s="54"/>
      <c r="C126" s="54"/>
      <c r="D126" s="54"/>
      <c r="E126" s="36"/>
      <c r="F126" s="177"/>
    </row>
    <row r="127" spans="1:6" x14ac:dyDescent="0.35">
      <c r="A127" s="31" t="s">
        <v>217</v>
      </c>
      <c r="B127" s="31" t="s">
        <v>218</v>
      </c>
      <c r="C127" s="31"/>
      <c r="D127" s="31" t="s">
        <v>303</v>
      </c>
      <c r="E127" s="13" t="s">
        <v>319</v>
      </c>
      <c r="F127" s="178"/>
    </row>
    <row r="128" spans="1:6" x14ac:dyDescent="0.35">
      <c r="A128" s="16"/>
      <c r="B128" s="16"/>
      <c r="C128" s="16"/>
      <c r="D128" s="16"/>
      <c r="E128" s="27"/>
      <c r="F128" s="176"/>
    </row>
    <row r="129" spans="1:6" ht="26" x14ac:dyDescent="0.6">
      <c r="A129" s="34" t="s">
        <v>219</v>
      </c>
      <c r="B129" s="34"/>
      <c r="C129" s="34"/>
      <c r="D129" s="34"/>
      <c r="E129" s="16"/>
      <c r="F129" s="176"/>
    </row>
    <row r="130" spans="1:6" x14ac:dyDescent="0.35">
      <c r="A130" s="197" t="s">
        <v>221</v>
      </c>
      <c r="B130" s="197"/>
      <c r="C130" s="197"/>
      <c r="D130" s="1"/>
      <c r="E130" s="1"/>
      <c r="F130" s="174"/>
    </row>
    <row r="131" spans="1:6" ht="18.5" x14ac:dyDescent="0.45">
      <c r="A131" s="35" t="s">
        <v>222</v>
      </c>
      <c r="B131" s="54"/>
      <c r="C131" s="54"/>
      <c r="D131" s="54"/>
      <c r="E131" s="36"/>
      <c r="F131" s="177"/>
    </row>
    <row r="132" spans="1:6" x14ac:dyDescent="0.35">
      <c r="A132" s="13" t="s">
        <v>223</v>
      </c>
      <c r="B132" s="13" t="s">
        <v>224</v>
      </c>
      <c r="C132" s="13" t="s">
        <v>225</v>
      </c>
      <c r="D132" s="13" t="s">
        <v>286</v>
      </c>
      <c r="E132" s="13" t="s">
        <v>320</v>
      </c>
      <c r="F132" s="178"/>
    </row>
    <row r="133" spans="1:6" x14ac:dyDescent="0.35">
      <c r="A133" s="26"/>
      <c r="B133" s="26"/>
      <c r="C133" s="26"/>
      <c r="D133" s="16"/>
      <c r="E133" s="27"/>
      <c r="F133" s="176"/>
    </row>
    <row r="134" spans="1:6" ht="18.5" x14ac:dyDescent="0.45">
      <c r="A134" s="35" t="s">
        <v>226</v>
      </c>
      <c r="B134" s="54"/>
      <c r="C134" s="54"/>
      <c r="D134" s="54"/>
      <c r="E134" s="36"/>
      <c r="F134" s="177"/>
    </row>
    <row r="135" spans="1:6" x14ac:dyDescent="0.35">
      <c r="A135" s="13" t="s">
        <v>227</v>
      </c>
      <c r="B135" s="13" t="s">
        <v>228</v>
      </c>
      <c r="C135" s="13" t="s">
        <v>229</v>
      </c>
      <c r="D135" s="13" t="s">
        <v>288</v>
      </c>
      <c r="E135" s="13" t="s">
        <v>321</v>
      </c>
      <c r="F135" s="178">
        <v>2</v>
      </c>
    </row>
    <row r="136" spans="1:6" x14ac:dyDescent="0.35">
      <c r="A136" s="13" t="s">
        <v>230</v>
      </c>
      <c r="B136" s="13" t="s">
        <v>228</v>
      </c>
      <c r="C136" s="13" t="s">
        <v>231</v>
      </c>
      <c r="D136" s="13" t="s">
        <v>288</v>
      </c>
      <c r="E136" s="13" t="s">
        <v>321</v>
      </c>
      <c r="F136" s="178">
        <v>4</v>
      </c>
    </row>
    <row r="137" spans="1:6" x14ac:dyDescent="0.35">
      <c r="A137" s="13" t="s">
        <v>232</v>
      </c>
      <c r="B137" s="13" t="s">
        <v>228</v>
      </c>
      <c r="C137" s="13" t="s">
        <v>233</v>
      </c>
      <c r="D137" s="13" t="s">
        <v>288</v>
      </c>
      <c r="E137" s="13" t="s">
        <v>322</v>
      </c>
      <c r="F137" s="178">
        <v>1</v>
      </c>
    </row>
    <row r="138" spans="1:6" x14ac:dyDescent="0.35">
      <c r="A138" s="13" t="s">
        <v>234</v>
      </c>
      <c r="B138" s="13" t="s">
        <v>228</v>
      </c>
      <c r="C138" s="13" t="s">
        <v>235</v>
      </c>
      <c r="D138" s="13" t="s">
        <v>288</v>
      </c>
      <c r="E138" s="13" t="s">
        <v>293</v>
      </c>
      <c r="F138" s="178">
        <v>4</v>
      </c>
    </row>
    <row r="139" spans="1:6" x14ac:dyDescent="0.35">
      <c r="A139" s="13" t="s">
        <v>236</v>
      </c>
      <c r="B139" s="13" t="s">
        <v>228</v>
      </c>
      <c r="C139" s="13"/>
      <c r="D139" s="13" t="s">
        <v>288</v>
      </c>
      <c r="E139" s="13" t="s">
        <v>321</v>
      </c>
      <c r="F139" s="178">
        <v>0</v>
      </c>
    </row>
    <row r="140" spans="1:6" x14ac:dyDescent="0.35">
      <c r="A140" s="15"/>
      <c r="B140" s="15"/>
      <c r="C140" s="15"/>
      <c r="D140" s="15"/>
      <c r="E140" s="28"/>
      <c r="F140" s="180"/>
    </row>
    <row r="141" spans="1:6" ht="18.5" x14ac:dyDescent="0.45">
      <c r="A141" s="35" t="s">
        <v>237</v>
      </c>
      <c r="B141" s="54"/>
      <c r="C141" s="54"/>
      <c r="D141" s="54"/>
      <c r="E141" s="36"/>
      <c r="F141" s="177"/>
    </row>
    <row r="142" spans="1:6" ht="15.65" customHeight="1" x14ac:dyDescent="0.35">
      <c r="A142" s="13" t="s">
        <v>238</v>
      </c>
      <c r="B142" s="13" t="s">
        <v>239</v>
      </c>
      <c r="C142" s="13" t="s">
        <v>240</v>
      </c>
      <c r="D142" s="13" t="s">
        <v>288</v>
      </c>
      <c r="E142" s="13" t="s">
        <v>290</v>
      </c>
      <c r="F142" s="178">
        <v>0</v>
      </c>
    </row>
    <row r="143" spans="1:6" x14ac:dyDescent="0.35">
      <c r="A143" s="15"/>
      <c r="B143" s="15"/>
      <c r="C143" s="15"/>
      <c r="D143" s="15"/>
      <c r="E143" s="28"/>
      <c r="F143" s="180"/>
    </row>
    <row r="144" spans="1:6" ht="18.5" x14ac:dyDescent="0.45">
      <c r="A144" s="35" t="s">
        <v>241</v>
      </c>
      <c r="B144" s="54"/>
      <c r="C144" s="54"/>
      <c r="D144" s="54"/>
      <c r="E144" s="36"/>
      <c r="F144" s="177"/>
    </row>
    <row r="145" spans="1:6" x14ac:dyDescent="0.35">
      <c r="A145" s="13" t="s">
        <v>242</v>
      </c>
      <c r="B145" s="13" t="s">
        <v>243</v>
      </c>
      <c r="C145" s="13" t="s">
        <v>244</v>
      </c>
      <c r="D145" s="13" t="s">
        <v>288</v>
      </c>
      <c r="E145" s="13" t="s">
        <v>290</v>
      </c>
      <c r="F145" s="178">
        <v>8</v>
      </c>
    </row>
    <row r="146" spans="1:6" x14ac:dyDescent="0.35">
      <c r="A146" s="13" t="s">
        <v>245</v>
      </c>
      <c r="B146" s="13" t="s">
        <v>243</v>
      </c>
      <c r="C146" s="13" t="s">
        <v>246</v>
      </c>
      <c r="D146" s="13" t="s">
        <v>288</v>
      </c>
      <c r="E146" s="13" t="s">
        <v>290</v>
      </c>
      <c r="F146" s="178">
        <v>4</v>
      </c>
    </row>
    <row r="148" spans="1:6" ht="18.5" x14ac:dyDescent="0.45">
      <c r="A148" s="35" t="s">
        <v>248</v>
      </c>
      <c r="B148" s="54"/>
      <c r="C148" s="54"/>
      <c r="D148" s="54"/>
      <c r="E148" s="36"/>
      <c r="F148" s="177"/>
    </row>
    <row r="149" spans="1:6" x14ac:dyDescent="0.35">
      <c r="A149" s="17" t="s">
        <v>249</v>
      </c>
      <c r="B149" s="13" t="s">
        <v>250</v>
      </c>
      <c r="C149" s="13" t="s">
        <v>251</v>
      </c>
      <c r="D149" s="13" t="s">
        <v>286</v>
      </c>
      <c r="E149" s="13" t="s">
        <v>287</v>
      </c>
      <c r="F149" s="178">
        <v>0</v>
      </c>
    </row>
    <row r="150" spans="1:6" x14ac:dyDescent="0.35">
      <c r="A150" s="17" t="s">
        <v>252</v>
      </c>
      <c r="B150" s="13" t="s">
        <v>250</v>
      </c>
      <c r="C150" s="13" t="s">
        <v>253</v>
      </c>
      <c r="D150" s="13" t="s">
        <v>288</v>
      </c>
      <c r="E150" s="13" t="s">
        <v>323</v>
      </c>
      <c r="F150" s="178">
        <v>5</v>
      </c>
    </row>
    <row r="151" spans="1:6" x14ac:dyDescent="0.35">
      <c r="A151" s="17" t="s">
        <v>254</v>
      </c>
      <c r="B151" s="13" t="s">
        <v>250</v>
      </c>
      <c r="C151" s="13" t="s">
        <v>255</v>
      </c>
      <c r="D151" s="13" t="s">
        <v>286</v>
      </c>
      <c r="E151" s="13" t="s">
        <v>324</v>
      </c>
      <c r="F151" s="178">
        <v>0</v>
      </c>
    </row>
    <row r="152" spans="1:6" x14ac:dyDescent="0.35">
      <c r="A152" s="17" t="s">
        <v>256</v>
      </c>
      <c r="B152" s="13" t="s">
        <v>250</v>
      </c>
      <c r="C152" s="13" t="s">
        <v>257</v>
      </c>
      <c r="D152" s="13" t="s">
        <v>288</v>
      </c>
      <c r="E152" s="13" t="s">
        <v>323</v>
      </c>
      <c r="F152" s="178">
        <v>0</v>
      </c>
    </row>
    <row r="153" spans="1:6" x14ac:dyDescent="0.35">
      <c r="A153" s="15"/>
      <c r="B153" s="15"/>
      <c r="C153" s="15"/>
    </row>
    <row r="154" spans="1:6" ht="18.5" x14ac:dyDescent="0.45">
      <c r="A154" s="35" t="s">
        <v>258</v>
      </c>
      <c r="B154" s="54"/>
      <c r="C154" s="54"/>
      <c r="D154" s="54"/>
      <c r="E154" s="36"/>
      <c r="F154" s="177"/>
    </row>
    <row r="155" spans="1:6" x14ac:dyDescent="0.35">
      <c r="A155" s="13" t="s">
        <v>259</v>
      </c>
      <c r="B155" s="13" t="s">
        <v>260</v>
      </c>
      <c r="C155" s="13" t="s">
        <v>261</v>
      </c>
      <c r="D155" s="13" t="s">
        <v>286</v>
      </c>
      <c r="E155" s="13" t="s">
        <v>324</v>
      </c>
      <c r="F155" s="178"/>
    </row>
    <row r="156" spans="1:6" x14ac:dyDescent="0.35">
      <c r="A156" s="13" t="s">
        <v>262</v>
      </c>
      <c r="B156" s="13" t="s">
        <v>260</v>
      </c>
      <c r="C156" s="13" t="s">
        <v>255</v>
      </c>
      <c r="D156" s="13" t="s">
        <v>286</v>
      </c>
      <c r="E156" s="13" t="s">
        <v>324</v>
      </c>
      <c r="F156" s="178">
        <v>0</v>
      </c>
    </row>
    <row r="157" spans="1:6" x14ac:dyDescent="0.35">
      <c r="A157" s="15"/>
      <c r="B157" s="15"/>
      <c r="C157" s="15"/>
      <c r="D157" s="15"/>
      <c r="E157" s="28"/>
      <c r="F157" s="180"/>
    </row>
    <row r="158" spans="1:6" ht="18.5" x14ac:dyDescent="0.45">
      <c r="A158" s="35" t="s">
        <v>263</v>
      </c>
      <c r="B158" s="54"/>
      <c r="C158" s="54"/>
      <c r="D158" s="54"/>
      <c r="E158" s="36"/>
      <c r="F158" s="177"/>
    </row>
    <row r="159" spans="1:6" x14ac:dyDescent="0.35">
      <c r="A159" s="13" t="s">
        <v>264</v>
      </c>
      <c r="B159" s="13" t="s">
        <v>265</v>
      </c>
      <c r="C159" s="13" t="s">
        <v>266</v>
      </c>
      <c r="D159" s="13" t="s">
        <v>286</v>
      </c>
      <c r="E159" s="13" t="s">
        <v>325</v>
      </c>
      <c r="F159" s="189">
        <v>5</v>
      </c>
    </row>
    <row r="160" spans="1:6" x14ac:dyDescent="0.35">
      <c r="A160" s="13" t="s">
        <v>267</v>
      </c>
      <c r="B160" s="13" t="s">
        <v>265</v>
      </c>
      <c r="C160" s="13" t="s">
        <v>268</v>
      </c>
      <c r="D160" s="13" t="s">
        <v>286</v>
      </c>
      <c r="E160" s="13" t="s">
        <v>325</v>
      </c>
      <c r="F160" s="189"/>
    </row>
    <row r="161" spans="1:6" x14ac:dyDescent="0.35">
      <c r="A161" s="13" t="s">
        <v>269</v>
      </c>
      <c r="B161" s="13" t="s">
        <v>265</v>
      </c>
      <c r="C161" s="13" t="s">
        <v>270</v>
      </c>
      <c r="D161" s="13" t="s">
        <v>286</v>
      </c>
      <c r="E161" s="13" t="s">
        <v>325</v>
      </c>
      <c r="F161" s="189"/>
    </row>
    <row r="162" spans="1:6" x14ac:dyDescent="0.35">
      <c r="A162" s="13" t="s">
        <v>271</v>
      </c>
      <c r="B162" s="13" t="s">
        <v>265</v>
      </c>
      <c r="C162" s="13" t="s">
        <v>272</v>
      </c>
      <c r="D162" s="13" t="s">
        <v>286</v>
      </c>
      <c r="E162" s="13" t="s">
        <v>325</v>
      </c>
      <c r="F162" s="189"/>
    </row>
    <row r="163" spans="1:6" x14ac:dyDescent="0.35">
      <c r="A163" s="26"/>
      <c r="B163" s="26"/>
      <c r="C163" s="26"/>
      <c r="D163" s="26"/>
      <c r="E163" s="26"/>
      <c r="F163" s="190"/>
    </row>
    <row r="164" spans="1:6" x14ac:dyDescent="0.35">
      <c r="A164" s="15"/>
      <c r="B164" s="15"/>
      <c r="C164" s="15"/>
      <c r="D164" s="15"/>
      <c r="E164" s="28"/>
      <c r="F164" s="180"/>
    </row>
    <row r="165" spans="1:6" ht="26" x14ac:dyDescent="0.6">
      <c r="A165" s="34" t="s">
        <v>273</v>
      </c>
      <c r="B165" s="34"/>
      <c r="C165" s="34"/>
      <c r="D165" s="34"/>
      <c r="E165" s="16"/>
      <c r="F165" s="176"/>
    </row>
    <row r="166" spans="1:6" x14ac:dyDescent="0.35">
      <c r="A166" s="195" t="s">
        <v>275</v>
      </c>
      <c r="B166" s="195"/>
      <c r="C166" s="195"/>
      <c r="D166" s="1"/>
      <c r="E166" s="1"/>
      <c r="F166" s="174"/>
    </row>
    <row r="167" spans="1:6" ht="18.5" x14ac:dyDescent="0.45">
      <c r="A167" s="35" t="s">
        <v>276</v>
      </c>
      <c r="B167" s="54"/>
      <c r="C167" s="54"/>
      <c r="D167" s="54"/>
      <c r="E167" s="36"/>
      <c r="F167" s="177"/>
    </row>
    <row r="168" spans="1:6" x14ac:dyDescent="0.35">
      <c r="A168" s="13" t="s">
        <v>277</v>
      </c>
      <c r="B168" s="13"/>
      <c r="C168" s="13"/>
      <c r="D168" s="13" t="s">
        <v>288</v>
      </c>
      <c r="E168" s="13" t="s">
        <v>326</v>
      </c>
      <c r="F168" s="178">
        <v>0</v>
      </c>
    </row>
    <row r="169" spans="1:6" x14ac:dyDescent="0.35">
      <c r="A169" s="15"/>
      <c r="B169" s="15"/>
      <c r="C169" s="15"/>
      <c r="D169" s="26"/>
      <c r="E169" s="26"/>
      <c r="F169" s="180"/>
    </row>
    <row r="170" spans="1:6" ht="18.5" x14ac:dyDescent="0.45">
      <c r="A170" s="35" t="s">
        <v>278</v>
      </c>
      <c r="B170" s="54"/>
      <c r="C170" s="54"/>
      <c r="D170" s="54"/>
      <c r="E170" s="36"/>
      <c r="F170" s="177"/>
    </row>
    <row r="171" spans="1:6" x14ac:dyDescent="0.35">
      <c r="A171" s="17" t="s">
        <v>279</v>
      </c>
      <c r="B171" s="13"/>
      <c r="C171" s="13"/>
      <c r="D171" s="13" t="s">
        <v>288</v>
      </c>
      <c r="E171" s="13" t="s">
        <v>326</v>
      </c>
      <c r="F171" s="178">
        <v>0</v>
      </c>
    </row>
    <row r="172" spans="1:6" x14ac:dyDescent="0.35">
      <c r="A172" s="15"/>
      <c r="B172" s="15"/>
      <c r="C172" s="15"/>
      <c r="D172" s="26"/>
      <c r="E172" s="26"/>
      <c r="F172" s="180"/>
    </row>
    <row r="173" spans="1:6" ht="18.5" x14ac:dyDescent="0.45">
      <c r="A173" s="35" t="s">
        <v>281</v>
      </c>
      <c r="B173" s="54"/>
      <c r="C173" s="54"/>
      <c r="D173" s="54"/>
      <c r="E173" s="36"/>
      <c r="F173" s="177"/>
    </row>
    <row r="174" spans="1:6" x14ac:dyDescent="0.35">
      <c r="A174" s="17" t="s">
        <v>282</v>
      </c>
      <c r="B174" s="13"/>
      <c r="C174" s="13"/>
      <c r="D174" s="13" t="s">
        <v>288</v>
      </c>
      <c r="E174" s="13" t="s">
        <v>326</v>
      </c>
      <c r="F174" s="178">
        <v>0</v>
      </c>
    </row>
    <row r="175" spans="1:6" x14ac:dyDescent="0.35">
      <c r="A175" s="15"/>
      <c r="B175" s="15"/>
      <c r="C175" s="15"/>
      <c r="D175" s="15"/>
      <c r="E175" s="28"/>
      <c r="F175" s="180"/>
    </row>
    <row r="176" spans="1:6" ht="18.5" x14ac:dyDescent="0.45">
      <c r="A176" s="35"/>
      <c r="B176" s="54"/>
      <c r="C176" s="54"/>
      <c r="D176" s="54"/>
      <c r="E176" s="36"/>
      <c r="F176" s="177"/>
    </row>
    <row r="177" spans="1:6" x14ac:dyDescent="0.35">
      <c r="A177" s="13"/>
      <c r="B177" s="58"/>
      <c r="C177" s="58"/>
      <c r="D177" s="13"/>
      <c r="E177" s="13"/>
      <c r="F177" s="178"/>
    </row>
    <row r="178" spans="1:6" x14ac:dyDescent="0.35">
      <c r="A178" s="13"/>
      <c r="B178" s="58"/>
      <c r="C178" s="58"/>
      <c r="D178" s="13"/>
      <c r="E178" s="13"/>
      <c r="F178" s="178"/>
    </row>
    <row r="179" spans="1:6" x14ac:dyDescent="0.35">
      <c r="A179" s="13"/>
      <c r="B179" s="58"/>
      <c r="C179" s="58"/>
      <c r="D179" s="13"/>
      <c r="E179" s="13"/>
      <c r="F179" s="178"/>
    </row>
    <row r="180" spans="1:6" x14ac:dyDescent="0.35">
      <c r="A180" s="13"/>
      <c r="B180" s="58"/>
      <c r="C180" s="58"/>
      <c r="D180" s="13"/>
      <c r="E180" s="13"/>
      <c r="F180" s="178"/>
    </row>
    <row r="183" spans="1:6" x14ac:dyDescent="0.35">
      <c r="A183" s="193" t="s">
        <v>327</v>
      </c>
      <c r="B183" s="194"/>
      <c r="C183" s="194"/>
      <c r="D183" s="194"/>
      <c r="E183" s="194"/>
      <c r="F183" s="194"/>
    </row>
  </sheetData>
  <autoFilter ref="A4:C174" xr:uid="{00000000-0009-0000-0000-000001000000}"/>
  <mergeCells count="6">
    <mergeCell ref="A183:F183"/>
    <mergeCell ref="A9:C9"/>
    <mergeCell ref="A71:C71"/>
    <mergeCell ref="A72:C72"/>
    <mergeCell ref="A130:C130"/>
    <mergeCell ref="A166:C166"/>
  </mergeCells>
  <printOptions horizontalCentered="1"/>
  <pageMargins left="0.25" right="0.25" top="0.75" bottom="0.75" header="0.3" footer="0.3"/>
  <pageSetup scale="65" fitToHeight="0" orientation="landscape" r:id="rId1"/>
  <headerFooter>
    <oddFooter>&amp;L&amp;Z&amp;F&amp;C&amp;"-,Bold"&amp;KFF0000Print Date &amp;D, &amp;T&amp;RPage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C38FE-9B06-4221-89B4-99B00782DEC9}">
  <sheetPr>
    <tabColor rgb="FFFF0000"/>
  </sheetPr>
  <dimension ref="A1:BI198"/>
  <sheetViews>
    <sheetView tabSelected="1" view="pageBreakPreview" zoomScale="40" zoomScaleNormal="60" zoomScaleSheetLayoutView="40" workbookViewId="0">
      <pane xSplit="4" ySplit="6" topLeftCell="E7" activePane="bottomRight" state="frozen"/>
      <selection pane="topRight" activeCell="C1" sqref="C1"/>
      <selection pane="bottomLeft" activeCell="A5" sqref="A5"/>
      <selection pane="bottomRight" activeCell="AM6" sqref="AM6"/>
    </sheetView>
  </sheetViews>
  <sheetFormatPr defaultColWidth="13.7265625" defaultRowHeight="23.5" x14ac:dyDescent="0.35"/>
  <cols>
    <col min="1" max="1" width="14" style="1" hidden="1" customWidth="1"/>
    <col min="2" max="3" width="129" style="29" customWidth="1"/>
    <col min="4" max="4" width="118.54296875" style="29" customWidth="1"/>
    <col min="5" max="5" width="2.6328125" style="6" customWidth="1"/>
    <col min="6" max="6" width="48.7265625" style="7" hidden="1" customWidth="1"/>
    <col min="7" max="7" width="42.6328125" style="7" hidden="1" customWidth="1"/>
    <col min="8" max="8" width="27.7265625" style="7" customWidth="1"/>
    <col min="9" max="9" width="29.81640625" style="7" hidden="1" customWidth="1"/>
    <col min="10" max="10" width="40" style="7" hidden="1" customWidth="1"/>
    <col min="11" max="11" width="31.81640625" style="7" hidden="1" customWidth="1"/>
    <col min="12" max="12" width="45.1796875" style="7" hidden="1" customWidth="1"/>
    <col min="13" max="13" width="45.81640625" style="7" hidden="1" customWidth="1"/>
    <col min="14" max="14" width="39.1796875" style="7" hidden="1" customWidth="1"/>
    <col min="15" max="16" width="28.453125" style="7" hidden="1" customWidth="1"/>
    <col min="17" max="18" width="26" style="7" hidden="1" customWidth="1"/>
    <col min="19" max="19" width="11.81640625" style="7" hidden="1" customWidth="1"/>
    <col min="20" max="20" width="52.54296875" style="7" hidden="1" customWidth="1"/>
    <col min="21" max="21" width="27.453125" style="7" hidden="1" customWidth="1"/>
    <col min="22" max="22" width="40" style="7" hidden="1" customWidth="1"/>
    <col min="23" max="23" width="31.81640625" style="7" hidden="1" customWidth="1"/>
    <col min="24" max="24" width="20.81640625" style="7" hidden="1" customWidth="1"/>
    <col min="25" max="25" width="23.81640625" style="7" hidden="1" customWidth="1"/>
    <col min="26" max="26" width="33.453125" style="7" hidden="1" customWidth="1"/>
    <col min="27" max="27" width="37.1796875" style="7" hidden="1" customWidth="1"/>
    <col min="28" max="28" width="22.81640625" style="7" hidden="1" customWidth="1"/>
    <col min="29" max="29" width="18.54296875" style="7" hidden="1" customWidth="1"/>
    <col min="30" max="30" width="16.7265625" style="7" hidden="1" customWidth="1"/>
    <col min="31" max="31" width="19.453125" style="7" hidden="1" customWidth="1"/>
    <col min="32" max="32" width="11.81640625" style="7" hidden="1" customWidth="1"/>
    <col min="33" max="33" width="43.453125" style="74" hidden="1" customWidth="1"/>
    <col min="34" max="34" width="25" style="74" hidden="1" customWidth="1"/>
    <col min="35" max="35" width="32.7265625" style="74" hidden="1" customWidth="1"/>
    <col min="36" max="36" width="26.26953125" style="74" hidden="1" customWidth="1"/>
    <col min="37" max="37" width="17.26953125" style="74" hidden="1" customWidth="1"/>
    <col min="38" max="38" width="21.81640625" style="74" hidden="1" customWidth="1"/>
    <col min="39" max="39" width="31.81640625" style="74" customWidth="1"/>
    <col min="40" max="40" width="27.7265625" style="74" hidden="1" customWidth="1"/>
    <col min="41" max="41" width="30.81640625" style="74" bestFit="1" customWidth="1"/>
    <col min="42" max="42" width="22.81640625" style="7" hidden="1" customWidth="1"/>
    <col min="43" max="43" width="18.54296875" style="7" hidden="1" customWidth="1"/>
    <col min="44" max="44" width="16.7265625" style="7" hidden="1" customWidth="1"/>
    <col min="45" max="45" width="19.453125" style="7" hidden="1" customWidth="1"/>
    <col min="46" max="46" width="1.1796875" style="7" hidden="1" customWidth="1"/>
    <col min="47" max="48" width="13.7265625" style="1" hidden="1" customWidth="1"/>
    <col min="49" max="49" width="0" style="1" hidden="1" customWidth="1"/>
    <col min="50" max="16384" width="13.7265625" style="1"/>
  </cols>
  <sheetData>
    <row r="1" spans="1:46" ht="28.5" x14ac:dyDescent="0.35">
      <c r="B1" s="166"/>
      <c r="C1" s="166"/>
      <c r="D1" s="166"/>
      <c r="E1" s="96"/>
      <c r="F1" s="97"/>
      <c r="G1" s="97"/>
      <c r="H1" s="201" t="s">
        <v>0</v>
      </c>
      <c r="I1" s="201"/>
      <c r="J1" s="201"/>
      <c r="K1" s="201"/>
      <c r="L1" s="201"/>
      <c r="M1" s="201"/>
      <c r="N1" s="201"/>
      <c r="O1" s="97"/>
      <c r="P1" s="97"/>
      <c r="Q1" s="97"/>
      <c r="R1" s="97"/>
      <c r="S1" s="97"/>
      <c r="T1" s="201" t="s">
        <v>1</v>
      </c>
      <c r="U1" s="201"/>
      <c r="V1" s="201"/>
      <c r="W1" s="201"/>
      <c r="X1" s="201"/>
      <c r="Y1" s="201"/>
      <c r="Z1" s="201"/>
      <c r="AA1" s="201"/>
      <c r="AB1" s="201"/>
      <c r="AC1" s="201"/>
      <c r="AD1" s="201"/>
      <c r="AE1" s="201"/>
      <c r="AF1" s="97"/>
      <c r="AG1" s="202" t="s">
        <v>2</v>
      </c>
      <c r="AH1" s="202"/>
      <c r="AI1" s="202"/>
      <c r="AJ1" s="202"/>
      <c r="AK1" s="202"/>
      <c r="AL1" s="202"/>
      <c r="AM1" s="202"/>
      <c r="AN1" s="202"/>
      <c r="AO1" s="202"/>
      <c r="AP1" s="202"/>
      <c r="AQ1" s="202"/>
      <c r="AR1" s="202"/>
      <c r="AS1" s="202"/>
    </row>
    <row r="2" spans="1:46" ht="28.5" x14ac:dyDescent="0.35">
      <c r="B2" s="166"/>
      <c r="C2" s="166"/>
      <c r="D2" s="166"/>
      <c r="E2" s="96"/>
      <c r="F2" s="98" t="s">
        <v>3</v>
      </c>
      <c r="G2" s="98" t="s">
        <v>4</v>
      </c>
      <c r="H2" s="98" t="s">
        <v>5</v>
      </c>
      <c r="I2" s="98" t="s">
        <v>6</v>
      </c>
      <c r="J2" s="98" t="s">
        <v>7</v>
      </c>
      <c r="K2" s="98" t="s">
        <v>8</v>
      </c>
      <c r="L2" s="98" t="s">
        <v>9</v>
      </c>
      <c r="M2" s="98" t="s">
        <v>10</v>
      </c>
      <c r="N2" s="98" t="s">
        <v>11</v>
      </c>
      <c r="O2" s="201" t="s">
        <v>12</v>
      </c>
      <c r="P2" s="201"/>
      <c r="Q2" s="201"/>
      <c r="R2" s="201"/>
      <c r="S2" s="97"/>
      <c r="T2" s="98" t="s">
        <v>13</v>
      </c>
      <c r="U2" s="98" t="s">
        <v>6</v>
      </c>
      <c r="V2" s="98" t="s">
        <v>7</v>
      </c>
      <c r="W2" s="98" t="s">
        <v>8</v>
      </c>
      <c r="X2" s="97"/>
      <c r="Y2" s="97"/>
      <c r="Z2" s="98" t="s">
        <v>14</v>
      </c>
      <c r="AA2" s="98" t="s">
        <v>15</v>
      </c>
      <c r="AB2" s="201"/>
      <c r="AC2" s="201"/>
      <c r="AD2" s="201"/>
      <c r="AE2" s="201"/>
      <c r="AF2" s="97"/>
      <c r="AG2" s="75" t="s">
        <v>13</v>
      </c>
      <c r="AH2" s="75" t="s">
        <v>6</v>
      </c>
      <c r="AI2" s="75" t="s">
        <v>7</v>
      </c>
      <c r="AJ2" s="75" t="s">
        <v>8</v>
      </c>
      <c r="AM2" s="75" t="s">
        <v>14</v>
      </c>
      <c r="AN2" s="75" t="s">
        <v>328</v>
      </c>
      <c r="AO2" s="75" t="s">
        <v>329</v>
      </c>
      <c r="AP2" s="201"/>
      <c r="AQ2" s="201"/>
      <c r="AR2" s="201"/>
      <c r="AS2" s="201"/>
    </row>
    <row r="3" spans="1:46" ht="28.5" x14ac:dyDescent="0.65">
      <c r="B3" s="167" t="s">
        <v>16</v>
      </c>
      <c r="C3" s="167"/>
      <c r="D3" s="167"/>
      <c r="E3" s="96"/>
      <c r="F3" s="99">
        <v>279514381</v>
      </c>
      <c r="G3" s="99">
        <v>290302790</v>
      </c>
      <c r="H3" s="99">
        <f>SUM(I3+J3+K3+L3+M3+N3)</f>
        <v>343249800</v>
      </c>
      <c r="I3" s="100">
        <v>202997676</v>
      </c>
      <c r="J3" s="100">
        <v>104906525</v>
      </c>
      <c r="K3" s="100">
        <v>12850608</v>
      </c>
      <c r="L3" s="100">
        <v>16758828</v>
      </c>
      <c r="M3" s="100">
        <v>300000</v>
      </c>
      <c r="N3" s="100">
        <v>5436163</v>
      </c>
      <c r="O3" s="101"/>
      <c r="P3" s="101"/>
      <c r="Q3" s="101"/>
      <c r="R3" s="101"/>
      <c r="S3" s="102"/>
      <c r="T3" s="99">
        <v>343249800</v>
      </c>
      <c r="U3" s="100"/>
      <c r="V3" s="100"/>
      <c r="W3" s="100"/>
      <c r="X3" s="101"/>
      <c r="Y3" s="101"/>
      <c r="Z3" s="99"/>
      <c r="AA3" s="99"/>
      <c r="AB3" s="101"/>
      <c r="AC3" s="101"/>
      <c r="AD3" s="101"/>
      <c r="AE3" s="101"/>
      <c r="AF3" s="102"/>
      <c r="AG3" s="76">
        <v>343249800</v>
      </c>
      <c r="AH3" s="77"/>
      <c r="AI3" s="77"/>
      <c r="AJ3" s="77"/>
      <c r="AK3" s="78"/>
      <c r="AL3" s="78"/>
      <c r="AM3" s="76"/>
      <c r="AN3" s="76"/>
      <c r="AO3" s="76"/>
      <c r="AP3" s="101"/>
      <c r="AQ3" s="101"/>
      <c r="AR3" s="101"/>
      <c r="AS3" s="101"/>
      <c r="AT3" s="41"/>
    </row>
    <row r="4" spans="1:46" ht="28.5" x14ac:dyDescent="0.35">
      <c r="B4" s="103"/>
      <c r="C4" s="103"/>
      <c r="D4" s="103"/>
      <c r="E4" s="104" t="s">
        <v>17</v>
      </c>
      <c r="F4" s="105">
        <f t="shared" ref="F4:G4" si="0">SUM(F3-F5)</f>
        <v>119690</v>
      </c>
      <c r="G4" s="105">
        <f t="shared" si="0"/>
        <v>130516</v>
      </c>
      <c r="H4" s="106">
        <f>SUM(H3-H5)</f>
        <v>-0.47500002384185791</v>
      </c>
      <c r="I4" s="106">
        <f>SUM(I3-I5)</f>
        <v>0</v>
      </c>
      <c r="J4" s="106">
        <f>SUM(J3-J5)</f>
        <v>0</v>
      </c>
      <c r="K4" s="106">
        <f>SUM(K3-K5)</f>
        <v>0</v>
      </c>
      <c r="L4" s="106">
        <f>SUM(L3-L5)</f>
        <v>-0.47499999962747097</v>
      </c>
      <c r="M4" s="106">
        <f t="shared" ref="M4:N4" si="1">SUM(M3-M5)</f>
        <v>0</v>
      </c>
      <c r="N4" s="106">
        <f t="shared" si="1"/>
        <v>0</v>
      </c>
      <c r="O4" s="107"/>
      <c r="P4" s="107"/>
      <c r="Q4" s="107"/>
      <c r="R4" s="107"/>
      <c r="S4" s="108"/>
      <c r="T4" s="105">
        <f t="shared" ref="T4:W4" si="2">SUM(T3-T5)</f>
        <v>-0.47500002384185791</v>
      </c>
      <c r="U4" s="105">
        <f t="shared" si="2"/>
        <v>-85809404.230000004</v>
      </c>
      <c r="V4" s="105">
        <f t="shared" si="2"/>
        <v>-32398413.969999999</v>
      </c>
      <c r="W4" s="105">
        <f t="shared" si="2"/>
        <v>-3852735.83</v>
      </c>
      <c r="X4" s="107"/>
      <c r="Y4" s="107"/>
      <c r="Z4" s="105"/>
      <c r="AA4" s="105"/>
      <c r="AB4" s="107"/>
      <c r="AC4" s="107"/>
      <c r="AD4" s="107"/>
      <c r="AE4" s="107"/>
      <c r="AF4" s="108"/>
      <c r="AG4" s="79">
        <f t="shared" ref="AG4:AJ4" si="3">SUM(AG3-AG5)</f>
        <v>-0.47500002384185791</v>
      </c>
      <c r="AH4" s="79">
        <f t="shared" si="3"/>
        <v>-128785005.43000001</v>
      </c>
      <c r="AI4" s="79">
        <f t="shared" si="3"/>
        <v>-48914704.049999997</v>
      </c>
      <c r="AJ4" s="79">
        <f t="shared" si="3"/>
        <v>-6034619.1899999995</v>
      </c>
      <c r="AK4" s="80"/>
      <c r="AL4" s="80"/>
      <c r="AM4" s="79"/>
      <c r="AN4" s="79"/>
      <c r="AO4" s="79"/>
      <c r="AP4" s="107"/>
      <c r="AQ4" s="107"/>
      <c r="AR4" s="107"/>
      <c r="AS4" s="107"/>
      <c r="AT4" s="42"/>
    </row>
    <row r="5" spans="1:46" ht="28.5" x14ac:dyDescent="0.65">
      <c r="B5" s="109"/>
      <c r="C5" s="109"/>
      <c r="D5" s="109"/>
      <c r="E5" s="110"/>
      <c r="F5" s="111">
        <f>+F7+F70+F129+F165+F177</f>
        <v>279394691</v>
      </c>
      <c r="G5" s="111">
        <f>+G7+G70+G129+G165+G177</f>
        <v>290172274</v>
      </c>
      <c r="H5" s="111">
        <f>+H7+H70+H129+H165</f>
        <v>343249800.47500002</v>
      </c>
      <c r="I5" s="111">
        <f>+I7+I70+I129+I165</f>
        <v>202997676</v>
      </c>
      <c r="J5" s="111">
        <f t="shared" ref="J5:R5" si="4">+J7+J70+J129+J165</f>
        <v>104906525</v>
      </c>
      <c r="K5" s="111">
        <f t="shared" si="4"/>
        <v>12850608</v>
      </c>
      <c r="L5" s="111">
        <f t="shared" si="4"/>
        <v>16758828.475</v>
      </c>
      <c r="M5" s="111">
        <f t="shared" si="4"/>
        <v>300000</v>
      </c>
      <c r="N5" s="111">
        <f t="shared" si="4"/>
        <v>5436163</v>
      </c>
      <c r="O5" s="111">
        <f t="shared" si="4"/>
        <v>134515961.831</v>
      </c>
      <c r="P5" s="111">
        <f t="shared" si="4"/>
        <v>100538463</v>
      </c>
      <c r="Q5" s="111">
        <f t="shared" si="4"/>
        <v>17218670</v>
      </c>
      <c r="R5" s="111">
        <f t="shared" si="4"/>
        <v>16758828.831000002</v>
      </c>
      <c r="S5" s="112"/>
      <c r="T5" s="111">
        <f>+T7+T70+T129+T165</f>
        <v>343249800.47500002</v>
      </c>
      <c r="U5" s="111">
        <f>+U7+U70+U129</f>
        <v>85809404.230000004</v>
      </c>
      <c r="V5" s="111">
        <f>+V7+V70+V129</f>
        <v>32398413.969999999</v>
      </c>
      <c r="W5" s="111">
        <f>+W7+W70+W129</f>
        <v>3852735.83</v>
      </c>
      <c r="X5" s="111">
        <f>+X7+X70+X129</f>
        <v>0</v>
      </c>
      <c r="Y5" s="111">
        <f>+Y7+Y70+Y129</f>
        <v>2236322.2799999998</v>
      </c>
      <c r="Z5" s="111">
        <f>+Z7+Z70+Z129+Z165</f>
        <v>123739436.31</v>
      </c>
      <c r="AA5" s="111">
        <f>+AA7+AA70+AA129+AA165</f>
        <v>219510364.16500002</v>
      </c>
      <c r="AB5" s="111">
        <f t="shared" ref="AB5:AE5" si="5">+AB7+AB70+AB129+AB165</f>
        <v>0</v>
      </c>
      <c r="AC5" s="111">
        <f t="shared" si="5"/>
        <v>0</v>
      </c>
      <c r="AD5" s="111">
        <f t="shared" si="5"/>
        <v>0</v>
      </c>
      <c r="AE5" s="111">
        <f t="shared" si="5"/>
        <v>0</v>
      </c>
      <c r="AF5" s="112"/>
      <c r="AG5" s="81">
        <f>+AG7+AG70+AG129+AG165</f>
        <v>343249800.47500002</v>
      </c>
      <c r="AH5" s="81">
        <f>+AH7+AH70+AH129</f>
        <v>128785005.43000001</v>
      </c>
      <c r="AI5" s="81">
        <f>+AI7+AI70+AI129</f>
        <v>48914704.049999997</v>
      </c>
      <c r="AJ5" s="81">
        <f>+AJ7+AJ70+AJ129</f>
        <v>6034619.1899999995</v>
      </c>
      <c r="AK5" s="81">
        <f>+AK7+AK70+AK129</f>
        <v>0</v>
      </c>
      <c r="AL5" s="81">
        <f>+AL7+AL70+AL129</f>
        <v>3452735.3500000006</v>
      </c>
      <c r="AM5" s="81">
        <f>+AM7+AM70+AM129+AM165</f>
        <v>187187064.02000001</v>
      </c>
      <c r="AN5" s="81">
        <f>+AN7+AN70+AN129+AN165</f>
        <v>0</v>
      </c>
      <c r="AO5" s="81">
        <f>+AO7+AO70+AO129+AO165</f>
        <v>156062736.45499998</v>
      </c>
      <c r="AP5" s="111" t="e">
        <f t="shared" ref="AP5:AS5" si="6">+AP7+AP70+AP129+AP165</f>
        <v>#REF!</v>
      </c>
      <c r="AQ5" s="111" t="e">
        <f t="shared" si="6"/>
        <v>#REF!</v>
      </c>
      <c r="AR5" s="111" t="e">
        <f t="shared" si="6"/>
        <v>#REF!</v>
      </c>
      <c r="AS5" s="111" t="e">
        <f t="shared" si="6"/>
        <v>#REF!</v>
      </c>
      <c r="AT5" s="43"/>
    </row>
    <row r="6" spans="1:46" s="4" customFormat="1" ht="171" x14ac:dyDescent="0.35">
      <c r="A6" s="4" t="s">
        <v>18</v>
      </c>
      <c r="B6" s="168"/>
      <c r="C6" s="168" t="s">
        <v>330</v>
      </c>
      <c r="D6" s="168" t="s">
        <v>331</v>
      </c>
      <c r="E6" s="113"/>
      <c r="F6" s="82" t="s">
        <v>332</v>
      </c>
      <c r="G6" s="82" t="s">
        <v>333</v>
      </c>
      <c r="H6" s="82" t="s">
        <v>334</v>
      </c>
      <c r="I6" s="115" t="s">
        <v>22</v>
      </c>
      <c r="J6" s="116" t="s">
        <v>23</v>
      </c>
      <c r="K6" s="116" t="s">
        <v>24</v>
      </c>
      <c r="L6" s="116" t="s">
        <v>25</v>
      </c>
      <c r="M6" s="117" t="s">
        <v>10</v>
      </c>
      <c r="N6" s="118" t="s">
        <v>11</v>
      </c>
      <c r="O6" s="119" t="s">
        <v>26</v>
      </c>
      <c r="P6" s="119" t="s">
        <v>27</v>
      </c>
      <c r="Q6" s="119" t="s">
        <v>28</v>
      </c>
      <c r="R6" s="119" t="s">
        <v>29</v>
      </c>
      <c r="S6" s="120"/>
      <c r="T6" s="114" t="s">
        <v>21</v>
      </c>
      <c r="U6" s="115" t="s">
        <v>22</v>
      </c>
      <c r="V6" s="116" t="s">
        <v>23</v>
      </c>
      <c r="W6" s="116" t="s">
        <v>24</v>
      </c>
      <c r="X6" s="117" t="s">
        <v>10</v>
      </c>
      <c r="Y6" s="118" t="s">
        <v>11</v>
      </c>
      <c r="Z6" s="114" t="s">
        <v>30</v>
      </c>
      <c r="AA6" s="114" t="s">
        <v>31</v>
      </c>
      <c r="AB6" s="119" t="s">
        <v>26</v>
      </c>
      <c r="AC6" s="119" t="s">
        <v>27</v>
      </c>
      <c r="AD6" s="119" t="s">
        <v>28</v>
      </c>
      <c r="AE6" s="119" t="s">
        <v>29</v>
      </c>
      <c r="AF6" s="120"/>
      <c r="AG6" s="82" t="s">
        <v>21</v>
      </c>
      <c r="AH6" s="83" t="s">
        <v>22</v>
      </c>
      <c r="AI6" s="84" t="s">
        <v>23</v>
      </c>
      <c r="AJ6" s="84" t="s">
        <v>24</v>
      </c>
      <c r="AK6" s="85" t="s">
        <v>10</v>
      </c>
      <c r="AL6" s="86" t="s">
        <v>11</v>
      </c>
      <c r="AM6" s="82" t="s">
        <v>32</v>
      </c>
      <c r="AN6" s="82" t="s">
        <v>335</v>
      </c>
      <c r="AO6" s="82" t="s">
        <v>336</v>
      </c>
      <c r="AP6" s="119" t="s">
        <v>26</v>
      </c>
      <c r="AQ6" s="119" t="s">
        <v>27</v>
      </c>
      <c r="AR6" s="119" t="s">
        <v>28</v>
      </c>
      <c r="AS6" s="119" t="s">
        <v>29</v>
      </c>
      <c r="AT6" s="44"/>
    </row>
    <row r="7" spans="1:46" ht="28.5" x14ac:dyDescent="0.65">
      <c r="B7" s="169" t="s">
        <v>33</v>
      </c>
      <c r="C7" s="169"/>
      <c r="D7" s="169"/>
      <c r="E7" s="122" t="s">
        <v>34</v>
      </c>
      <c r="F7" s="123">
        <f t="shared" ref="F7:S7" si="7">+F9+F13+F27+F33+F36+F41+F46+F59+F64</f>
        <v>35012351</v>
      </c>
      <c r="G7" s="123">
        <f t="shared" si="7"/>
        <v>29766329</v>
      </c>
      <c r="H7" s="123">
        <f>+H9+H13+H27+H33+H36+H41+H46+H59+H64</f>
        <v>52956226.802000001</v>
      </c>
      <c r="I7" s="123">
        <f t="shared" si="7"/>
        <v>0</v>
      </c>
      <c r="J7" s="123">
        <f t="shared" si="7"/>
        <v>39967678</v>
      </c>
      <c r="K7" s="123">
        <f t="shared" si="7"/>
        <v>5382760</v>
      </c>
      <c r="L7" s="123">
        <f>+L9+L13+L27+L33+L36+L41+L46+L59+L64</f>
        <v>6433551.8020000011</v>
      </c>
      <c r="M7" s="123">
        <f t="shared" si="7"/>
        <v>0</v>
      </c>
      <c r="N7" s="123">
        <f>+N9+N13+N27+N33+N36+N41+N46+N59+N64</f>
        <v>1172237</v>
      </c>
      <c r="O7" s="123">
        <f t="shared" si="7"/>
        <v>51783989.802000001</v>
      </c>
      <c r="P7" s="123">
        <f t="shared" si="7"/>
        <v>35479026</v>
      </c>
      <c r="Q7" s="123">
        <f t="shared" si="7"/>
        <v>9871412</v>
      </c>
      <c r="R7" s="123">
        <f t="shared" si="7"/>
        <v>6433551.8020000011</v>
      </c>
      <c r="S7" s="123">
        <f t="shared" si="7"/>
        <v>0</v>
      </c>
      <c r="T7" s="123">
        <v>52956226.802000001</v>
      </c>
      <c r="U7" s="123">
        <f t="shared" ref="U7:AF7" si="8">+U9+U13+U27+U33+U36+U41+U46+U59+U64</f>
        <v>0</v>
      </c>
      <c r="V7" s="123">
        <f t="shared" si="8"/>
        <v>8150387.8900000006</v>
      </c>
      <c r="W7" s="123">
        <f t="shared" si="8"/>
        <v>3776737.62</v>
      </c>
      <c r="X7" s="123">
        <f t="shared" si="8"/>
        <v>0</v>
      </c>
      <c r="Y7" s="123">
        <f t="shared" si="8"/>
        <v>653643.36</v>
      </c>
      <c r="Z7" s="123">
        <f>+Z9+Z13+Z27+Z33+Z36+Z41+Z46+Z59+Z64</f>
        <v>12023328.870000003</v>
      </c>
      <c r="AA7" s="123">
        <f>+AA9+AA13+AA27+AA33+AA36+AA41+AA46+AA59+AA64</f>
        <v>40932897.931999996</v>
      </c>
      <c r="AB7" s="123">
        <f t="shared" si="8"/>
        <v>0</v>
      </c>
      <c r="AC7" s="123">
        <f t="shared" si="8"/>
        <v>0</v>
      </c>
      <c r="AD7" s="123">
        <f t="shared" si="8"/>
        <v>0</v>
      </c>
      <c r="AE7" s="123">
        <f t="shared" si="8"/>
        <v>0</v>
      </c>
      <c r="AF7" s="123">
        <f t="shared" si="8"/>
        <v>0</v>
      </c>
      <c r="AG7" s="87">
        <v>52956226.802000001</v>
      </c>
      <c r="AH7" s="87">
        <f t="shared" ref="AH7:AL7" si="9">+AH9+AH13+AH27+AH33+AH36+AH41+AH46+AH59+AH64</f>
        <v>0</v>
      </c>
      <c r="AI7" s="87">
        <f>+AI9+AI13+AI27+AI33+AI36+AI41+AI46+AI59+AI64</f>
        <v>10409397.539999999</v>
      </c>
      <c r="AJ7" s="87">
        <f t="shared" si="9"/>
        <v>5913972.0599999996</v>
      </c>
      <c r="AK7" s="87">
        <f t="shared" si="9"/>
        <v>0</v>
      </c>
      <c r="AL7" s="87">
        <f t="shared" si="9"/>
        <v>943357.07000000007</v>
      </c>
      <c r="AM7" s="87">
        <f>+AM9+AM13+AM27+AM33+AM36+AM41+AM46+AM59+AM64</f>
        <v>17266726.670000002</v>
      </c>
      <c r="AN7" s="87">
        <f>+AN9+AN13+AN27+AN33+AN36+AN41+AN46+AN59+AN64</f>
        <v>0</v>
      </c>
      <c r="AO7" s="87">
        <f>+AO9+AO13+AO27+AO33+AO36+AO41+AO46+AO59+AO64</f>
        <v>35689500.131999999</v>
      </c>
      <c r="AP7" s="123">
        <f t="shared" ref="AP7:AT7" si="10">+AP9+AP13+AP27+AP33+AP36+AP41+AP46+AP59+AP64</f>
        <v>0</v>
      </c>
      <c r="AQ7" s="123">
        <f t="shared" si="10"/>
        <v>0</v>
      </c>
      <c r="AR7" s="123">
        <f t="shared" si="10"/>
        <v>0</v>
      </c>
      <c r="AS7" s="123">
        <f t="shared" si="10"/>
        <v>0</v>
      </c>
      <c r="AT7" s="8">
        <f t="shared" si="10"/>
        <v>0</v>
      </c>
    </row>
    <row r="8" spans="1:46" ht="57" x14ac:dyDescent="0.65">
      <c r="B8" s="121" t="s">
        <v>35</v>
      </c>
      <c r="C8" s="200"/>
      <c r="D8" s="200"/>
      <c r="E8" s="124"/>
      <c r="F8" s="125"/>
      <c r="G8" s="125"/>
      <c r="H8" s="125"/>
      <c r="I8" s="125"/>
      <c r="J8" s="125"/>
      <c r="K8" s="125"/>
      <c r="L8" s="125"/>
      <c r="M8" s="125"/>
      <c r="N8" s="125"/>
      <c r="O8" s="125"/>
      <c r="P8" s="125"/>
      <c r="Q8" s="125"/>
      <c r="R8" s="125"/>
      <c r="S8" s="126"/>
      <c r="T8" s="125"/>
      <c r="U8" s="125"/>
      <c r="V8" s="125"/>
      <c r="W8" s="125"/>
      <c r="X8" s="125"/>
      <c r="Y8" s="125"/>
      <c r="Z8" s="125"/>
      <c r="AA8" s="125"/>
      <c r="AB8" s="125"/>
      <c r="AC8" s="125"/>
      <c r="AD8" s="125"/>
      <c r="AE8" s="125"/>
      <c r="AF8" s="126"/>
      <c r="AG8" s="88"/>
      <c r="AH8" s="88"/>
      <c r="AI8" s="88"/>
      <c r="AJ8" s="88"/>
      <c r="AK8" s="88"/>
      <c r="AL8" s="88"/>
      <c r="AM8" s="88"/>
      <c r="AN8" s="88"/>
      <c r="AO8" s="88"/>
      <c r="AP8" s="125"/>
      <c r="AQ8" s="125"/>
      <c r="AR8" s="125"/>
      <c r="AS8" s="125"/>
      <c r="AT8" s="45"/>
    </row>
    <row r="9" spans="1:46" s="5" customFormat="1" ht="28.5" x14ac:dyDescent="0.65">
      <c r="A9" s="5">
        <v>1.1000000000000001</v>
      </c>
      <c r="B9" s="170" t="s">
        <v>36</v>
      </c>
      <c r="C9" s="198" t="s">
        <v>427</v>
      </c>
      <c r="D9" s="199"/>
      <c r="E9" s="127"/>
      <c r="F9" s="128">
        <f t="shared" ref="F9:S9" si="11">+SUM(F10:F11)</f>
        <v>100000</v>
      </c>
      <c r="G9" s="128">
        <f t="shared" si="11"/>
        <v>86250</v>
      </c>
      <c r="H9" s="128">
        <f>+SUM(H10:H11)</f>
        <v>100000</v>
      </c>
      <c r="I9" s="128">
        <f t="shared" si="11"/>
        <v>0</v>
      </c>
      <c r="J9" s="128">
        <f t="shared" si="11"/>
        <v>0</v>
      </c>
      <c r="K9" s="128">
        <f t="shared" si="11"/>
        <v>0</v>
      </c>
      <c r="L9" s="128">
        <f t="shared" ref="L9" si="12">+SUM(L10:L11)</f>
        <v>0</v>
      </c>
      <c r="M9" s="128">
        <f t="shared" si="11"/>
        <v>0</v>
      </c>
      <c r="N9" s="128">
        <f t="shared" si="11"/>
        <v>100000</v>
      </c>
      <c r="O9" s="128">
        <f t="shared" si="11"/>
        <v>0</v>
      </c>
      <c r="P9" s="128">
        <f t="shared" si="11"/>
        <v>0</v>
      </c>
      <c r="Q9" s="128">
        <f t="shared" ref="Q9" si="13">+SUM(Q10:Q11)</f>
        <v>0</v>
      </c>
      <c r="R9" s="128">
        <f t="shared" si="11"/>
        <v>0</v>
      </c>
      <c r="S9" s="128">
        <f t="shared" si="11"/>
        <v>0</v>
      </c>
      <c r="T9" s="128">
        <v>100000</v>
      </c>
      <c r="U9" s="128">
        <f t="shared" ref="U9" si="14">+SUM(U10:U11)</f>
        <v>0</v>
      </c>
      <c r="V9" s="128">
        <f>SUM(V10:V11)</f>
        <v>0</v>
      </c>
      <c r="W9" s="128">
        <f t="shared" ref="W9:AF9" si="15">+SUM(W10:W11)</f>
        <v>0</v>
      </c>
      <c r="X9" s="128">
        <f t="shared" si="15"/>
        <v>0</v>
      </c>
      <c r="Y9" s="128">
        <f t="shared" si="15"/>
        <v>90352.29</v>
      </c>
      <c r="Z9" s="128">
        <f>+SUM(Z10:Z11)</f>
        <v>90352.29</v>
      </c>
      <c r="AA9" s="128">
        <f>+SUM(AA10:AA11)</f>
        <v>9647.7100000000064</v>
      </c>
      <c r="AB9" s="128">
        <f t="shared" si="15"/>
        <v>0</v>
      </c>
      <c r="AC9" s="128">
        <f t="shared" si="15"/>
        <v>0</v>
      </c>
      <c r="AD9" s="128">
        <f t="shared" si="15"/>
        <v>0</v>
      </c>
      <c r="AE9" s="128">
        <f t="shared" si="15"/>
        <v>0</v>
      </c>
      <c r="AF9" s="128">
        <f t="shared" si="15"/>
        <v>0</v>
      </c>
      <c r="AG9" s="89">
        <v>100000</v>
      </c>
      <c r="AH9" s="89">
        <f t="shared" ref="AH9:AL9" si="16">+SUM(AH10:AH11)</f>
        <v>0</v>
      </c>
      <c r="AI9" s="89">
        <f>+SUM(AI10:AI11)</f>
        <v>0</v>
      </c>
      <c r="AJ9" s="89">
        <f t="shared" si="16"/>
        <v>0</v>
      </c>
      <c r="AK9" s="89">
        <f t="shared" si="16"/>
        <v>0</v>
      </c>
      <c r="AL9" s="89">
        <f t="shared" si="16"/>
        <v>203751.52</v>
      </c>
      <c r="AM9" s="89">
        <f>+SUM(AM10:AM11)</f>
        <v>203751.52</v>
      </c>
      <c r="AN9" s="89">
        <f>+SUM(AN10:AN11)</f>
        <v>0</v>
      </c>
      <c r="AO9" s="89">
        <f>+SUM(AO10:AO11)</f>
        <v>-103751.51999999999</v>
      </c>
      <c r="AP9" s="128">
        <f t="shared" ref="AP9:AT9" si="17">+SUM(AP10:AP11)</f>
        <v>0</v>
      </c>
      <c r="AQ9" s="128">
        <f t="shared" si="17"/>
        <v>0</v>
      </c>
      <c r="AR9" s="128">
        <f t="shared" si="17"/>
        <v>0</v>
      </c>
      <c r="AS9" s="128">
        <f t="shared" si="17"/>
        <v>0</v>
      </c>
      <c r="AT9" s="11">
        <f t="shared" si="17"/>
        <v>0</v>
      </c>
    </row>
    <row r="10" spans="1:46" ht="110.25" customHeight="1" x14ac:dyDescent="0.35">
      <c r="B10" s="129" t="s">
        <v>37</v>
      </c>
      <c r="C10" s="129" t="s">
        <v>337</v>
      </c>
      <c r="D10" s="129"/>
      <c r="E10" s="131"/>
      <c r="F10" s="132">
        <v>100000</v>
      </c>
      <c r="G10" s="132">
        <v>86250</v>
      </c>
      <c r="H10" s="132">
        <f>SUM(I10:N10)</f>
        <v>100000</v>
      </c>
      <c r="I10" s="132">
        <v>0</v>
      </c>
      <c r="J10" s="133"/>
      <c r="K10" s="133"/>
      <c r="L10" s="133"/>
      <c r="M10" s="132"/>
      <c r="N10" s="132">
        <v>100000</v>
      </c>
      <c r="O10" s="132"/>
      <c r="P10" s="132"/>
      <c r="Q10" s="132"/>
      <c r="R10" s="132"/>
      <c r="S10" s="134"/>
      <c r="T10" s="132">
        <v>100000</v>
      </c>
      <c r="U10" s="132">
        <v>0</v>
      </c>
      <c r="V10" s="132">
        <v>0</v>
      </c>
      <c r="W10" s="132">
        <v>0</v>
      </c>
      <c r="X10" s="132">
        <v>0</v>
      </c>
      <c r="Y10" s="132">
        <v>90352.29</v>
      </c>
      <c r="Z10" s="132">
        <f>SUM(U10:Y10)</f>
        <v>90352.29</v>
      </c>
      <c r="AA10" s="132">
        <f>SUM(T10-Z10)</f>
        <v>9647.7100000000064</v>
      </c>
      <c r="AB10" s="132"/>
      <c r="AC10" s="132"/>
      <c r="AD10" s="132"/>
      <c r="AE10" s="132"/>
      <c r="AF10" s="134"/>
      <c r="AG10" s="90">
        <v>100000</v>
      </c>
      <c r="AH10" s="90">
        <v>0</v>
      </c>
      <c r="AI10" s="90">
        <v>0</v>
      </c>
      <c r="AJ10" s="90">
        <v>0</v>
      </c>
      <c r="AK10" s="90">
        <v>0</v>
      </c>
      <c r="AL10" s="90">
        <v>203751.52</v>
      </c>
      <c r="AM10" s="90">
        <f>SUM(AH10:AL10)</f>
        <v>203751.52</v>
      </c>
      <c r="AN10" s="90">
        <v>0</v>
      </c>
      <c r="AO10" s="90">
        <f>SUM(AG10-AM10)</f>
        <v>-103751.51999999999</v>
      </c>
      <c r="AP10" s="132"/>
      <c r="AQ10" s="132"/>
      <c r="AR10" s="132"/>
      <c r="AS10" s="132"/>
      <c r="AT10" s="47"/>
    </row>
    <row r="11" spans="1:46" ht="28.5" x14ac:dyDescent="0.35">
      <c r="B11" s="135" t="s">
        <v>41</v>
      </c>
      <c r="C11" s="135" t="s">
        <v>338</v>
      </c>
      <c r="D11" s="135"/>
      <c r="E11" s="131"/>
      <c r="F11" s="132">
        <v>0</v>
      </c>
      <c r="G11" s="132">
        <v>0</v>
      </c>
      <c r="H11" s="132">
        <f>SUM(I11:N11)</f>
        <v>0</v>
      </c>
      <c r="I11" s="132">
        <v>0</v>
      </c>
      <c r="J11" s="133"/>
      <c r="K11" s="133"/>
      <c r="L11" s="133"/>
      <c r="M11" s="132">
        <v>0</v>
      </c>
      <c r="N11" s="132"/>
      <c r="O11" s="132"/>
      <c r="P11" s="132"/>
      <c r="Q11" s="132"/>
      <c r="R11" s="132"/>
      <c r="S11" s="134"/>
      <c r="T11" s="132">
        <v>0</v>
      </c>
      <c r="U11" s="132">
        <v>0</v>
      </c>
      <c r="V11" s="132">
        <v>0</v>
      </c>
      <c r="W11" s="132">
        <v>0</v>
      </c>
      <c r="X11" s="132">
        <v>0</v>
      </c>
      <c r="Y11" s="132">
        <v>0</v>
      </c>
      <c r="Z11" s="132">
        <f>SUM(U11:Y11)</f>
        <v>0</v>
      </c>
      <c r="AA11" s="132">
        <f>SUM(T11-Z11)</f>
        <v>0</v>
      </c>
      <c r="AB11" s="132"/>
      <c r="AC11" s="132"/>
      <c r="AD11" s="132"/>
      <c r="AE11" s="132"/>
      <c r="AF11" s="134"/>
      <c r="AG11" s="90">
        <v>0</v>
      </c>
      <c r="AH11" s="90">
        <v>0</v>
      </c>
      <c r="AI11" s="90">
        <v>0</v>
      </c>
      <c r="AJ11" s="90">
        <v>0</v>
      </c>
      <c r="AK11" s="90">
        <v>0</v>
      </c>
      <c r="AL11" s="90">
        <v>0</v>
      </c>
      <c r="AM11" s="90">
        <f>SUM(AH11:AL11)</f>
        <v>0</v>
      </c>
      <c r="AN11" s="90">
        <f>SUM(AI11:AM11)</f>
        <v>0</v>
      </c>
      <c r="AO11" s="90">
        <f>SUM(AG11-AM11)</f>
        <v>0</v>
      </c>
      <c r="AP11" s="132"/>
      <c r="AQ11" s="132"/>
      <c r="AR11" s="132"/>
      <c r="AS11" s="132"/>
      <c r="AT11" s="51"/>
    </row>
    <row r="12" spans="1:46" ht="28.5" x14ac:dyDescent="0.35">
      <c r="B12" s="161"/>
      <c r="C12" s="161"/>
      <c r="D12" s="161"/>
      <c r="E12" s="136"/>
      <c r="F12" s="123"/>
      <c r="G12" s="123"/>
      <c r="H12" s="123"/>
      <c r="I12" s="123"/>
      <c r="J12" s="123"/>
      <c r="K12" s="123"/>
      <c r="L12" s="123"/>
      <c r="M12" s="123"/>
      <c r="N12" s="123"/>
      <c r="O12" s="123"/>
      <c r="P12" s="123"/>
      <c r="Q12" s="123"/>
      <c r="R12" s="123"/>
      <c r="S12" s="137"/>
      <c r="T12" s="123"/>
      <c r="U12" s="123"/>
      <c r="V12" s="123"/>
      <c r="W12" s="123"/>
      <c r="X12" s="123"/>
      <c r="Y12" s="123"/>
      <c r="Z12" s="123"/>
      <c r="AA12" s="123"/>
      <c r="AB12" s="123"/>
      <c r="AC12" s="123"/>
      <c r="AD12" s="123"/>
      <c r="AE12" s="123"/>
      <c r="AF12" s="137"/>
      <c r="AG12" s="87"/>
      <c r="AH12" s="87"/>
      <c r="AI12" s="87"/>
      <c r="AJ12" s="87"/>
      <c r="AK12" s="87"/>
      <c r="AL12" s="87"/>
      <c r="AM12" s="87"/>
      <c r="AN12" s="87"/>
      <c r="AO12" s="87"/>
      <c r="AP12" s="123"/>
      <c r="AQ12" s="123"/>
      <c r="AR12" s="123"/>
      <c r="AS12" s="123"/>
      <c r="AT12" s="49"/>
    </row>
    <row r="13" spans="1:46" s="5" customFormat="1" ht="57" x14ac:dyDescent="0.65">
      <c r="A13" s="5">
        <v>1.2</v>
      </c>
      <c r="B13" s="170" t="s">
        <v>43</v>
      </c>
      <c r="C13" s="198" t="s">
        <v>428</v>
      </c>
      <c r="D13" s="199"/>
      <c r="E13" s="127"/>
      <c r="F13" s="128">
        <f t="shared" ref="F13:S13" si="18">+SUM(F14:F25)</f>
        <v>4051214</v>
      </c>
      <c r="G13" s="128">
        <f t="shared" si="18"/>
        <v>3875860</v>
      </c>
      <c r="H13" s="128">
        <f>+SUM(H14:H25)</f>
        <v>8232218.2800000003</v>
      </c>
      <c r="I13" s="128">
        <f t="shared" si="18"/>
        <v>0</v>
      </c>
      <c r="J13" s="128">
        <f t="shared" si="18"/>
        <v>4488920</v>
      </c>
      <c r="K13" s="128">
        <f t="shared" si="18"/>
        <v>3029560</v>
      </c>
      <c r="L13" s="128">
        <f>+SUM(L14:L25)</f>
        <v>713738.28</v>
      </c>
      <c r="M13" s="128">
        <f t="shared" si="18"/>
        <v>0</v>
      </c>
      <c r="N13" s="128">
        <f t="shared" si="18"/>
        <v>0</v>
      </c>
      <c r="O13" s="128">
        <f>+SUM(O14:O25)</f>
        <v>8232218.2800000003</v>
      </c>
      <c r="P13" s="128">
        <f t="shared" si="18"/>
        <v>6436075</v>
      </c>
      <c r="Q13" s="128">
        <f t="shared" ref="Q13" si="19">+SUM(Q14:Q25)</f>
        <v>1082405</v>
      </c>
      <c r="R13" s="128">
        <f t="shared" si="18"/>
        <v>713738.28</v>
      </c>
      <c r="S13" s="128">
        <f t="shared" si="18"/>
        <v>0</v>
      </c>
      <c r="T13" s="128">
        <v>8232218.2800000003</v>
      </c>
      <c r="U13" s="128"/>
      <c r="V13" s="128">
        <f>SUM(V14:V25)</f>
        <v>1938373.7100000002</v>
      </c>
      <c r="W13" s="128">
        <f t="shared" ref="W13:Y13" si="20">+SUM(W14:W25)</f>
        <v>2929806.44</v>
      </c>
      <c r="X13" s="128">
        <f t="shared" si="20"/>
        <v>0</v>
      </c>
      <c r="Y13" s="128">
        <f t="shared" si="20"/>
        <v>0</v>
      </c>
      <c r="Z13" s="128">
        <f>+SUM(Z14:Z25)</f>
        <v>4868180.1500000004</v>
      </c>
      <c r="AA13" s="128">
        <f>+SUM(AA14:AA25)</f>
        <v>3364038.1299999994</v>
      </c>
      <c r="AB13" s="128">
        <f>+SUM(AB14:AB25)</f>
        <v>0</v>
      </c>
      <c r="AC13" s="128">
        <f t="shared" ref="AC13:AF13" si="21">+SUM(AC14:AC25)</f>
        <v>0</v>
      </c>
      <c r="AD13" s="128">
        <f t="shared" si="21"/>
        <v>0</v>
      </c>
      <c r="AE13" s="128">
        <f t="shared" si="21"/>
        <v>0</v>
      </c>
      <c r="AF13" s="128">
        <f t="shared" si="21"/>
        <v>0</v>
      </c>
      <c r="AG13" s="89">
        <v>8232218.2800000003</v>
      </c>
      <c r="AH13" s="89"/>
      <c r="AI13" s="89">
        <f>+SUM(AI14:AI25)</f>
        <v>2509323.0700000003</v>
      </c>
      <c r="AJ13" s="89">
        <f t="shared" ref="AJ13:AL13" si="22">+SUM(AJ14:AJ25)</f>
        <v>4471039.26</v>
      </c>
      <c r="AK13" s="89">
        <f t="shared" si="22"/>
        <v>0</v>
      </c>
      <c r="AL13" s="89">
        <f t="shared" si="22"/>
        <v>0</v>
      </c>
      <c r="AM13" s="89">
        <f>+SUM(AM14:AM25)</f>
        <v>6980362.3300000001</v>
      </c>
      <c r="AN13" s="89">
        <f>+SUM(AN14:AN25)</f>
        <v>0</v>
      </c>
      <c r="AO13" s="89">
        <f>+SUM(AO14:AO25)</f>
        <v>1251855.9499999997</v>
      </c>
      <c r="AP13" s="128">
        <f>+SUM(AP14:AP25)</f>
        <v>0</v>
      </c>
      <c r="AQ13" s="128">
        <f t="shared" ref="AQ13:AT13" si="23">+SUM(AQ14:AQ25)</f>
        <v>0</v>
      </c>
      <c r="AR13" s="128">
        <f t="shared" si="23"/>
        <v>0</v>
      </c>
      <c r="AS13" s="128">
        <f t="shared" si="23"/>
        <v>0</v>
      </c>
      <c r="AT13" s="11">
        <f t="shared" si="23"/>
        <v>0</v>
      </c>
    </row>
    <row r="14" spans="1:46" ht="120" customHeight="1" x14ac:dyDescent="0.35">
      <c r="B14" s="130" t="s">
        <v>44</v>
      </c>
      <c r="C14" s="130" t="s">
        <v>339</v>
      </c>
      <c r="D14" s="130"/>
      <c r="E14" s="131"/>
      <c r="F14" s="132">
        <v>1008384</v>
      </c>
      <c r="G14" s="132">
        <v>945994</v>
      </c>
      <c r="H14" s="132">
        <f t="shared" ref="H14:H25" si="24">SUM(I14:N14)</f>
        <v>1200857.2849999999</v>
      </c>
      <c r="I14" s="132">
        <v>0</v>
      </c>
      <c r="J14" s="132">
        <v>1036115</v>
      </c>
      <c r="K14" s="132"/>
      <c r="L14" s="132">
        <f>SUM(J14*15.9%)</f>
        <v>164742.285</v>
      </c>
      <c r="M14" s="132"/>
      <c r="N14" s="132"/>
      <c r="O14" s="132">
        <f t="shared" ref="O14:O25" si="25">SUM(P14:R14)</f>
        <v>1200857.2849999999</v>
      </c>
      <c r="P14" s="132">
        <f>SUM(1008384+27731)</f>
        <v>1036115</v>
      </c>
      <c r="Q14" s="132"/>
      <c r="R14" s="132">
        <v>164742.285</v>
      </c>
      <c r="S14" s="134"/>
      <c r="T14" s="132">
        <v>1200857.2849999999</v>
      </c>
      <c r="U14" s="132">
        <v>0</v>
      </c>
      <c r="V14" s="132">
        <v>588002.03</v>
      </c>
      <c r="W14" s="132">
        <v>0</v>
      </c>
      <c r="X14" s="132">
        <v>0</v>
      </c>
      <c r="Y14" s="132">
        <v>0</v>
      </c>
      <c r="Z14" s="132">
        <f t="shared" ref="Z14:Z25" si="26">SUM(U14:Y14)</f>
        <v>588002.03</v>
      </c>
      <c r="AA14" s="132">
        <f t="shared" ref="AA14:AA25" si="27">SUM(T14-Z14)</f>
        <v>612855.25499999989</v>
      </c>
      <c r="AB14" s="132">
        <f t="shared" ref="AB14:AB25" si="28">SUM(AC14:AE14)</f>
        <v>0</v>
      </c>
      <c r="AC14" s="132"/>
      <c r="AD14" s="132"/>
      <c r="AE14" s="132"/>
      <c r="AF14" s="134"/>
      <c r="AG14" s="90">
        <v>1200857.2849999999</v>
      </c>
      <c r="AH14" s="90">
        <v>0</v>
      </c>
      <c r="AI14" s="90">
        <v>685433.74</v>
      </c>
      <c r="AJ14" s="90">
        <v>0</v>
      </c>
      <c r="AK14" s="90">
        <v>0</v>
      </c>
      <c r="AL14" s="90">
        <v>0</v>
      </c>
      <c r="AM14" s="90">
        <f>SUM(AH14:AL14)</f>
        <v>685433.74</v>
      </c>
      <c r="AN14" s="90">
        <v>0</v>
      </c>
      <c r="AO14" s="90">
        <f t="shared" ref="AO14:AO25" si="29">SUM(AG14-AM14)</f>
        <v>515423.54499999993</v>
      </c>
      <c r="AP14" s="132">
        <f t="shared" ref="AP14:AP25" si="30">SUM(AQ14:AS14)</f>
        <v>0</v>
      </c>
      <c r="AQ14" s="132"/>
      <c r="AR14" s="132"/>
      <c r="AS14" s="132"/>
      <c r="AT14" s="51"/>
    </row>
    <row r="15" spans="1:46" ht="96.75" customHeight="1" x14ac:dyDescent="0.35">
      <c r="B15" s="130" t="s">
        <v>48</v>
      </c>
      <c r="C15" s="130" t="s">
        <v>340</v>
      </c>
      <c r="D15" s="130"/>
      <c r="E15" s="131"/>
      <c r="F15" s="132">
        <v>285177</v>
      </c>
      <c r="G15" s="132">
        <v>441006</v>
      </c>
      <c r="H15" s="132">
        <f t="shared" si="24"/>
        <v>525182.30599999998</v>
      </c>
      <c r="I15" s="132">
        <v>0</v>
      </c>
      <c r="J15" s="132">
        <v>453134</v>
      </c>
      <c r="K15" s="132"/>
      <c r="L15" s="132">
        <f t="shared" ref="L15:L25" si="31">SUM(J15*15.9%)</f>
        <v>72048.305999999997</v>
      </c>
      <c r="M15" s="132"/>
      <c r="N15" s="132"/>
      <c r="O15" s="132">
        <f t="shared" si="25"/>
        <v>525182.30599999998</v>
      </c>
      <c r="P15" s="132">
        <f>SUM(441006+12128)</f>
        <v>453134</v>
      </c>
      <c r="Q15" s="132"/>
      <c r="R15" s="132">
        <v>72048.305999999997</v>
      </c>
      <c r="S15" s="134"/>
      <c r="T15" s="132">
        <v>525182.30599999998</v>
      </c>
      <c r="U15" s="132">
        <v>0</v>
      </c>
      <c r="V15" s="132">
        <v>150029.20000000001</v>
      </c>
      <c r="W15" s="132">
        <v>0</v>
      </c>
      <c r="X15" s="132"/>
      <c r="Y15" s="132"/>
      <c r="Z15" s="132">
        <f t="shared" si="26"/>
        <v>150029.20000000001</v>
      </c>
      <c r="AA15" s="132">
        <f t="shared" si="27"/>
        <v>375153.10599999997</v>
      </c>
      <c r="AB15" s="132">
        <f t="shared" si="28"/>
        <v>0</v>
      </c>
      <c r="AC15" s="132"/>
      <c r="AD15" s="132"/>
      <c r="AE15" s="132"/>
      <c r="AF15" s="134"/>
      <c r="AG15" s="90">
        <v>525182.30599999998</v>
      </c>
      <c r="AH15" s="90">
        <v>0</v>
      </c>
      <c r="AI15" s="90">
        <v>231028.82</v>
      </c>
      <c r="AJ15" s="90">
        <v>0</v>
      </c>
      <c r="AK15" s="90"/>
      <c r="AL15" s="90"/>
      <c r="AM15" s="90">
        <f t="shared" ref="AM15:AM25" si="32">SUM(AH15:AL15)</f>
        <v>231028.82</v>
      </c>
      <c r="AN15" s="90">
        <v>0</v>
      </c>
      <c r="AO15" s="90">
        <f t="shared" si="29"/>
        <v>294153.48599999998</v>
      </c>
      <c r="AP15" s="132">
        <f t="shared" si="30"/>
        <v>0</v>
      </c>
      <c r="AQ15" s="132"/>
      <c r="AR15" s="132"/>
      <c r="AS15" s="132"/>
      <c r="AT15" s="51"/>
    </row>
    <row r="16" spans="1:46" ht="111.75" customHeight="1" x14ac:dyDescent="0.35">
      <c r="B16" s="130" t="s">
        <v>50</v>
      </c>
      <c r="C16" s="130" t="s">
        <v>341</v>
      </c>
      <c r="D16" s="130"/>
      <c r="E16" s="131"/>
      <c r="F16" s="132">
        <f>SUM(58405+236302)</f>
        <v>294707</v>
      </c>
      <c r="G16" s="132">
        <v>60073</v>
      </c>
      <c r="H16" s="132">
        <f t="shared" si="24"/>
        <v>350957.94900000002</v>
      </c>
      <c r="I16" s="132">
        <v>0</v>
      </c>
      <c r="J16" s="132">
        <v>302811</v>
      </c>
      <c r="K16" s="132"/>
      <c r="L16" s="132">
        <f t="shared" si="31"/>
        <v>48146.949000000001</v>
      </c>
      <c r="M16" s="132"/>
      <c r="N16" s="132"/>
      <c r="O16" s="132">
        <f t="shared" si="25"/>
        <v>350957.94900000002</v>
      </c>
      <c r="P16" s="132">
        <f>SUM(294707+8104)</f>
        <v>302811</v>
      </c>
      <c r="Q16" s="132"/>
      <c r="R16" s="132">
        <v>48146.949000000001</v>
      </c>
      <c r="S16" s="134"/>
      <c r="T16" s="132">
        <v>350957.94900000002</v>
      </c>
      <c r="U16" s="132">
        <v>0</v>
      </c>
      <c r="V16" s="132">
        <v>35684.379999999997</v>
      </c>
      <c r="W16" s="132">
        <v>0</v>
      </c>
      <c r="X16" s="132">
        <v>0</v>
      </c>
      <c r="Y16" s="132">
        <v>0</v>
      </c>
      <c r="Z16" s="132">
        <f t="shared" si="26"/>
        <v>35684.379999999997</v>
      </c>
      <c r="AA16" s="132">
        <f t="shared" si="27"/>
        <v>315273.56900000002</v>
      </c>
      <c r="AB16" s="132">
        <f t="shared" si="28"/>
        <v>0</v>
      </c>
      <c r="AC16" s="132"/>
      <c r="AD16" s="132"/>
      <c r="AE16" s="132"/>
      <c r="AF16" s="134"/>
      <c r="AG16" s="90">
        <v>350957.94900000002</v>
      </c>
      <c r="AH16" s="90">
        <v>0</v>
      </c>
      <c r="AI16" s="90">
        <v>54725.37</v>
      </c>
      <c r="AJ16" s="90">
        <v>0</v>
      </c>
      <c r="AK16" s="90">
        <v>0</v>
      </c>
      <c r="AL16" s="90">
        <v>0</v>
      </c>
      <c r="AM16" s="90">
        <f t="shared" si="32"/>
        <v>54725.37</v>
      </c>
      <c r="AN16" s="90">
        <v>0</v>
      </c>
      <c r="AO16" s="90">
        <f t="shared" si="29"/>
        <v>296232.57900000003</v>
      </c>
      <c r="AP16" s="132">
        <f t="shared" si="30"/>
        <v>0</v>
      </c>
      <c r="AQ16" s="132"/>
      <c r="AR16" s="132"/>
      <c r="AS16" s="132"/>
      <c r="AT16" s="51"/>
    </row>
    <row r="17" spans="1:46" ht="85.5" x14ac:dyDescent="0.35">
      <c r="B17" s="130" t="s">
        <v>52</v>
      </c>
      <c r="C17" s="130" t="s">
        <v>342</v>
      </c>
      <c r="D17" s="130"/>
      <c r="E17" s="131"/>
      <c r="F17" s="132">
        <v>195878</v>
      </c>
      <c r="G17" s="132">
        <v>193201</v>
      </c>
      <c r="H17" s="132">
        <f t="shared" si="24"/>
        <v>233266.13500000001</v>
      </c>
      <c r="I17" s="132">
        <v>0</v>
      </c>
      <c r="J17" s="132">
        <v>201265</v>
      </c>
      <c r="K17" s="132"/>
      <c r="L17" s="132">
        <f t="shared" si="31"/>
        <v>32001.135000000002</v>
      </c>
      <c r="M17" s="132"/>
      <c r="N17" s="132"/>
      <c r="O17" s="132">
        <f t="shared" si="25"/>
        <v>233266.13500000001</v>
      </c>
      <c r="P17" s="132">
        <f>SUM(195878+5387)</f>
        <v>201265</v>
      </c>
      <c r="Q17" s="132"/>
      <c r="R17" s="132">
        <v>32001.135000000002</v>
      </c>
      <c r="S17" s="134"/>
      <c r="T17" s="132">
        <v>233266.13500000001</v>
      </c>
      <c r="U17" s="132">
        <v>0</v>
      </c>
      <c r="V17" s="132">
        <v>103879.48</v>
      </c>
      <c r="W17" s="132">
        <v>0</v>
      </c>
      <c r="X17" s="132">
        <v>0</v>
      </c>
      <c r="Y17" s="132">
        <v>0</v>
      </c>
      <c r="Z17" s="132">
        <f t="shared" si="26"/>
        <v>103879.48</v>
      </c>
      <c r="AA17" s="132">
        <f t="shared" si="27"/>
        <v>129386.65500000001</v>
      </c>
      <c r="AB17" s="132">
        <f t="shared" si="28"/>
        <v>0</v>
      </c>
      <c r="AC17" s="132"/>
      <c r="AD17" s="132"/>
      <c r="AE17" s="132"/>
      <c r="AF17" s="134"/>
      <c r="AG17" s="90">
        <v>233266.13500000001</v>
      </c>
      <c r="AH17" s="90">
        <v>0</v>
      </c>
      <c r="AI17" s="90">
        <v>156881.38</v>
      </c>
      <c r="AJ17" s="90">
        <v>0</v>
      </c>
      <c r="AK17" s="90">
        <v>0</v>
      </c>
      <c r="AL17" s="90">
        <v>0</v>
      </c>
      <c r="AM17" s="90">
        <f t="shared" si="32"/>
        <v>156881.38</v>
      </c>
      <c r="AN17" s="90">
        <v>0</v>
      </c>
      <c r="AO17" s="90">
        <f t="shared" si="29"/>
        <v>76384.755000000005</v>
      </c>
      <c r="AP17" s="132">
        <f t="shared" si="30"/>
        <v>0</v>
      </c>
      <c r="AQ17" s="132"/>
      <c r="AR17" s="132"/>
      <c r="AS17" s="132"/>
      <c r="AT17" s="51"/>
    </row>
    <row r="18" spans="1:46" ht="85.5" x14ac:dyDescent="0.35">
      <c r="B18" s="130" t="s">
        <v>54</v>
      </c>
      <c r="C18" s="130" t="s">
        <v>343</v>
      </c>
      <c r="D18" s="130"/>
      <c r="E18" s="131"/>
      <c r="F18" s="132">
        <v>570827</v>
      </c>
      <c r="G18" s="132">
        <v>659261</v>
      </c>
      <c r="H18" s="132">
        <f t="shared" si="24"/>
        <v>667033.47499999998</v>
      </c>
      <c r="I18" s="132">
        <v>0</v>
      </c>
      <c r="J18" s="132">
        <v>575525</v>
      </c>
      <c r="K18" s="132"/>
      <c r="L18" s="132">
        <f t="shared" si="31"/>
        <v>91508.475000000006</v>
      </c>
      <c r="M18" s="132"/>
      <c r="N18" s="132"/>
      <c r="O18" s="132">
        <f t="shared" si="25"/>
        <v>667033.47499999998</v>
      </c>
      <c r="P18" s="132">
        <f>SUM(170827+4698)</f>
        <v>175525</v>
      </c>
      <c r="Q18" s="132">
        <v>400000</v>
      </c>
      <c r="R18" s="132">
        <v>91508.475000000006</v>
      </c>
      <c r="S18" s="134"/>
      <c r="T18" s="132">
        <v>667033.47499999998</v>
      </c>
      <c r="U18" s="132">
        <v>0</v>
      </c>
      <c r="V18" s="132">
        <v>244743.95</v>
      </c>
      <c r="W18" s="132">
        <v>0</v>
      </c>
      <c r="X18" s="132">
        <v>0</v>
      </c>
      <c r="Y18" s="132">
        <v>0</v>
      </c>
      <c r="Z18" s="132">
        <f t="shared" si="26"/>
        <v>244743.95</v>
      </c>
      <c r="AA18" s="132">
        <f t="shared" si="27"/>
        <v>422289.52499999997</v>
      </c>
      <c r="AB18" s="132">
        <f t="shared" si="28"/>
        <v>0</v>
      </c>
      <c r="AC18" s="132"/>
      <c r="AD18" s="132"/>
      <c r="AE18" s="132"/>
      <c r="AF18" s="134"/>
      <c r="AG18" s="90">
        <v>667033.47499999998</v>
      </c>
      <c r="AH18" s="90">
        <v>0</v>
      </c>
      <c r="AI18" s="90">
        <v>164184.39000000001</v>
      </c>
      <c r="AJ18" s="90">
        <v>0</v>
      </c>
      <c r="AK18" s="90">
        <v>0</v>
      </c>
      <c r="AL18" s="90">
        <v>0</v>
      </c>
      <c r="AM18" s="90">
        <f t="shared" si="32"/>
        <v>164184.39000000001</v>
      </c>
      <c r="AN18" s="90">
        <v>0</v>
      </c>
      <c r="AO18" s="90">
        <f t="shared" si="29"/>
        <v>502849.08499999996</v>
      </c>
      <c r="AP18" s="132">
        <f t="shared" si="30"/>
        <v>0</v>
      </c>
      <c r="AQ18" s="132"/>
      <c r="AR18" s="132"/>
      <c r="AS18" s="132"/>
      <c r="AT18" s="51"/>
    </row>
    <row r="19" spans="1:46" ht="57" x14ac:dyDescent="0.35">
      <c r="B19" s="130" t="s">
        <v>56</v>
      </c>
      <c r="C19" s="130" t="s">
        <v>344</v>
      </c>
      <c r="D19" s="130"/>
      <c r="E19" s="131"/>
      <c r="F19" s="132">
        <v>65000</v>
      </c>
      <c r="G19" s="132">
        <v>0</v>
      </c>
      <c r="H19" s="132">
        <f t="shared" si="24"/>
        <v>75335</v>
      </c>
      <c r="I19" s="132">
        <v>0</v>
      </c>
      <c r="J19" s="132">
        <v>65000</v>
      </c>
      <c r="K19" s="132"/>
      <c r="L19" s="132">
        <f t="shared" si="31"/>
        <v>10335</v>
      </c>
      <c r="M19" s="132"/>
      <c r="N19" s="132"/>
      <c r="O19" s="132">
        <f t="shared" si="25"/>
        <v>75335</v>
      </c>
      <c r="P19" s="132"/>
      <c r="Q19" s="132">
        <v>65000</v>
      </c>
      <c r="R19" s="132">
        <v>10335</v>
      </c>
      <c r="S19" s="134"/>
      <c r="T19" s="132">
        <v>75335</v>
      </c>
      <c r="U19" s="132">
        <v>0</v>
      </c>
      <c r="V19" s="132">
        <v>0</v>
      </c>
      <c r="W19" s="132"/>
      <c r="X19" s="132"/>
      <c r="Y19" s="132"/>
      <c r="Z19" s="132">
        <f t="shared" si="26"/>
        <v>0</v>
      </c>
      <c r="AA19" s="132">
        <f t="shared" si="27"/>
        <v>75335</v>
      </c>
      <c r="AB19" s="132">
        <f t="shared" si="28"/>
        <v>0</v>
      </c>
      <c r="AC19" s="132"/>
      <c r="AD19" s="132"/>
      <c r="AE19" s="132"/>
      <c r="AF19" s="134"/>
      <c r="AG19" s="90">
        <v>75335</v>
      </c>
      <c r="AH19" s="90">
        <v>0</v>
      </c>
      <c r="AI19" s="90">
        <v>0</v>
      </c>
      <c r="AJ19" s="90"/>
      <c r="AK19" s="90"/>
      <c r="AL19" s="90"/>
      <c r="AM19" s="90">
        <f t="shared" si="32"/>
        <v>0</v>
      </c>
      <c r="AN19" s="90">
        <v>0</v>
      </c>
      <c r="AO19" s="90">
        <f t="shared" si="29"/>
        <v>75335</v>
      </c>
      <c r="AP19" s="132">
        <f t="shared" si="30"/>
        <v>0</v>
      </c>
      <c r="AQ19" s="132"/>
      <c r="AR19" s="132"/>
      <c r="AS19" s="132"/>
      <c r="AT19" s="51"/>
    </row>
    <row r="20" spans="1:46" ht="57" x14ac:dyDescent="0.35">
      <c r="B20" s="130" t="s">
        <v>58</v>
      </c>
      <c r="C20" s="130" t="s">
        <v>345</v>
      </c>
      <c r="D20" s="130"/>
      <c r="E20" s="131"/>
      <c r="F20" s="132">
        <v>85000</v>
      </c>
      <c r="G20" s="132">
        <v>85000</v>
      </c>
      <c r="H20" s="132">
        <f t="shared" si="24"/>
        <v>98515</v>
      </c>
      <c r="I20" s="132">
        <v>0</v>
      </c>
      <c r="J20" s="132">
        <v>85000</v>
      </c>
      <c r="K20" s="132"/>
      <c r="L20" s="132">
        <f t="shared" si="31"/>
        <v>13515</v>
      </c>
      <c r="M20" s="132"/>
      <c r="N20" s="132"/>
      <c r="O20" s="132">
        <f t="shared" si="25"/>
        <v>98515</v>
      </c>
      <c r="P20" s="132"/>
      <c r="Q20" s="132">
        <v>85000</v>
      </c>
      <c r="R20" s="132">
        <v>13515</v>
      </c>
      <c r="S20" s="134"/>
      <c r="T20" s="132">
        <v>98515</v>
      </c>
      <c r="U20" s="132">
        <v>0</v>
      </c>
      <c r="V20" s="132">
        <v>0</v>
      </c>
      <c r="W20" s="132"/>
      <c r="X20" s="132"/>
      <c r="Y20" s="132"/>
      <c r="Z20" s="132">
        <f t="shared" si="26"/>
        <v>0</v>
      </c>
      <c r="AA20" s="132">
        <f t="shared" si="27"/>
        <v>98515</v>
      </c>
      <c r="AB20" s="132">
        <f t="shared" si="28"/>
        <v>0</v>
      </c>
      <c r="AC20" s="132"/>
      <c r="AD20" s="132"/>
      <c r="AE20" s="132"/>
      <c r="AF20" s="134"/>
      <c r="AG20" s="90">
        <v>98515</v>
      </c>
      <c r="AH20" s="90">
        <v>0</v>
      </c>
      <c r="AI20" s="90">
        <v>98000</v>
      </c>
      <c r="AJ20" s="90"/>
      <c r="AK20" s="90"/>
      <c r="AL20" s="90"/>
      <c r="AM20" s="90">
        <f t="shared" si="32"/>
        <v>98000</v>
      </c>
      <c r="AN20" s="90">
        <v>0</v>
      </c>
      <c r="AO20" s="90">
        <f t="shared" si="29"/>
        <v>515</v>
      </c>
      <c r="AP20" s="132">
        <f t="shared" si="30"/>
        <v>0</v>
      </c>
      <c r="AQ20" s="132"/>
      <c r="AR20" s="132"/>
      <c r="AS20" s="132"/>
      <c r="AT20" s="51"/>
    </row>
    <row r="21" spans="1:46" ht="142.5" x14ac:dyDescent="0.35">
      <c r="B21" s="130" t="s">
        <v>60</v>
      </c>
      <c r="C21" s="130" t="s">
        <v>346</v>
      </c>
      <c r="D21" s="130"/>
      <c r="E21" s="131"/>
      <c r="F21" s="132">
        <v>57216</v>
      </c>
      <c r="G21" s="132">
        <v>57216</v>
      </c>
      <c r="H21" s="132">
        <f t="shared" si="24"/>
        <v>115900</v>
      </c>
      <c r="I21" s="132">
        <v>0</v>
      </c>
      <c r="J21" s="132">
        <v>100000</v>
      </c>
      <c r="K21" s="132"/>
      <c r="L21" s="132">
        <f t="shared" si="31"/>
        <v>15900</v>
      </c>
      <c r="M21" s="132"/>
      <c r="N21" s="132"/>
      <c r="O21" s="132">
        <f t="shared" si="25"/>
        <v>115900</v>
      </c>
      <c r="P21" s="132"/>
      <c r="Q21" s="132">
        <v>100000</v>
      </c>
      <c r="R21" s="132">
        <v>15900</v>
      </c>
      <c r="S21" s="134"/>
      <c r="T21" s="132">
        <v>115900</v>
      </c>
      <c r="U21" s="132">
        <v>0</v>
      </c>
      <c r="V21" s="132">
        <v>95227.1</v>
      </c>
      <c r="W21" s="132"/>
      <c r="X21" s="132"/>
      <c r="Y21" s="132"/>
      <c r="Z21" s="132">
        <f t="shared" si="26"/>
        <v>95227.1</v>
      </c>
      <c r="AA21" s="132">
        <f t="shared" si="27"/>
        <v>20672.899999999994</v>
      </c>
      <c r="AB21" s="132">
        <f t="shared" si="28"/>
        <v>0</v>
      </c>
      <c r="AC21" s="132"/>
      <c r="AD21" s="132"/>
      <c r="AE21" s="132"/>
      <c r="AF21" s="134"/>
      <c r="AG21" s="90">
        <v>115900</v>
      </c>
      <c r="AH21" s="90">
        <v>0</v>
      </c>
      <c r="AI21" s="90">
        <v>95227.1</v>
      </c>
      <c r="AJ21" s="90"/>
      <c r="AK21" s="90"/>
      <c r="AL21" s="90"/>
      <c r="AM21" s="90">
        <f t="shared" si="32"/>
        <v>95227.1</v>
      </c>
      <c r="AN21" s="90">
        <v>0</v>
      </c>
      <c r="AO21" s="90">
        <f t="shared" si="29"/>
        <v>20672.899999999994</v>
      </c>
      <c r="AP21" s="132">
        <f t="shared" si="30"/>
        <v>0</v>
      </c>
      <c r="AQ21" s="132"/>
      <c r="AR21" s="132"/>
      <c r="AS21" s="132"/>
      <c r="AT21" s="51"/>
    </row>
    <row r="22" spans="1:46" ht="142.5" x14ac:dyDescent="0.35">
      <c r="B22" s="130" t="s">
        <v>62</v>
      </c>
      <c r="C22" s="130" t="s">
        <v>347</v>
      </c>
      <c r="D22" s="130"/>
      <c r="E22" s="131"/>
      <c r="F22" s="132">
        <v>426960</v>
      </c>
      <c r="G22" s="132">
        <v>383124</v>
      </c>
      <c r="H22" s="132">
        <f t="shared" si="24"/>
        <v>499741.09700000001</v>
      </c>
      <c r="I22" s="132">
        <v>0</v>
      </c>
      <c r="J22" s="132">
        <v>431183</v>
      </c>
      <c r="K22" s="132"/>
      <c r="L22" s="132">
        <f t="shared" si="31"/>
        <v>68558.096999999994</v>
      </c>
      <c r="M22" s="132"/>
      <c r="N22" s="132"/>
      <c r="O22" s="132">
        <f t="shared" si="25"/>
        <v>499741.09700000001</v>
      </c>
      <c r="P22" s="132">
        <f>SUM(153555+4223)</f>
        <v>157778</v>
      </c>
      <c r="Q22" s="132">
        <v>273405</v>
      </c>
      <c r="R22" s="132">
        <v>68558.096999999994</v>
      </c>
      <c r="S22" s="134"/>
      <c r="T22" s="132">
        <v>499741.09700000001</v>
      </c>
      <c r="U22" s="132">
        <v>0</v>
      </c>
      <c r="V22" s="132">
        <v>251011</v>
      </c>
      <c r="W22" s="132"/>
      <c r="X22" s="132"/>
      <c r="Y22" s="132"/>
      <c r="Z22" s="132">
        <f t="shared" si="26"/>
        <v>251011</v>
      </c>
      <c r="AA22" s="132">
        <f t="shared" si="27"/>
        <v>248730.09700000001</v>
      </c>
      <c r="AB22" s="132">
        <f t="shared" si="28"/>
        <v>0</v>
      </c>
      <c r="AC22" s="132"/>
      <c r="AD22" s="132"/>
      <c r="AE22" s="132"/>
      <c r="AF22" s="134"/>
      <c r="AG22" s="90">
        <v>499741.09700000001</v>
      </c>
      <c r="AH22" s="90">
        <v>0</v>
      </c>
      <c r="AI22" s="90">
        <v>335590.1</v>
      </c>
      <c r="AJ22" s="90"/>
      <c r="AK22" s="90"/>
      <c r="AL22" s="90"/>
      <c r="AM22" s="90">
        <f t="shared" si="32"/>
        <v>335590.1</v>
      </c>
      <c r="AN22" s="90">
        <v>0</v>
      </c>
      <c r="AO22" s="90">
        <f t="shared" si="29"/>
        <v>164150.99700000003</v>
      </c>
      <c r="AP22" s="132">
        <f t="shared" si="30"/>
        <v>0</v>
      </c>
      <c r="AQ22" s="132"/>
      <c r="AR22" s="132"/>
      <c r="AS22" s="132"/>
      <c r="AT22" s="51"/>
    </row>
    <row r="23" spans="1:46" ht="85.5" x14ac:dyDescent="0.35">
      <c r="B23" s="130" t="s">
        <v>64</v>
      </c>
      <c r="C23" s="130" t="s">
        <v>348</v>
      </c>
      <c r="D23" s="130"/>
      <c r="E23" s="131"/>
      <c r="F23" s="132">
        <v>159000</v>
      </c>
      <c r="G23" s="132">
        <v>0</v>
      </c>
      <c r="H23" s="132">
        <f t="shared" si="24"/>
        <v>184281</v>
      </c>
      <c r="I23" s="132">
        <v>0</v>
      </c>
      <c r="J23" s="132">
        <v>159000</v>
      </c>
      <c r="K23" s="132"/>
      <c r="L23" s="132">
        <f t="shared" si="31"/>
        <v>25281</v>
      </c>
      <c r="M23" s="132"/>
      <c r="N23" s="132"/>
      <c r="O23" s="132">
        <f t="shared" si="25"/>
        <v>184281</v>
      </c>
      <c r="P23" s="132"/>
      <c r="Q23" s="132">
        <v>159000</v>
      </c>
      <c r="R23" s="132">
        <v>25281</v>
      </c>
      <c r="S23" s="134"/>
      <c r="T23" s="132">
        <v>184281</v>
      </c>
      <c r="U23" s="132">
        <v>0</v>
      </c>
      <c r="V23" s="132">
        <v>0</v>
      </c>
      <c r="W23" s="132"/>
      <c r="X23" s="132"/>
      <c r="Y23" s="132"/>
      <c r="Z23" s="132">
        <f t="shared" si="26"/>
        <v>0</v>
      </c>
      <c r="AA23" s="132">
        <f t="shared" si="27"/>
        <v>184281</v>
      </c>
      <c r="AB23" s="132">
        <f t="shared" si="28"/>
        <v>0</v>
      </c>
      <c r="AC23" s="132"/>
      <c r="AD23" s="132"/>
      <c r="AE23" s="132"/>
      <c r="AF23" s="134"/>
      <c r="AG23" s="90">
        <v>184281</v>
      </c>
      <c r="AH23" s="90">
        <v>0</v>
      </c>
      <c r="AI23" s="90">
        <v>0</v>
      </c>
      <c r="AJ23" s="90"/>
      <c r="AK23" s="90"/>
      <c r="AL23" s="90"/>
      <c r="AM23" s="90">
        <f t="shared" si="32"/>
        <v>0</v>
      </c>
      <c r="AN23" s="90">
        <v>0</v>
      </c>
      <c r="AO23" s="90">
        <f t="shared" si="29"/>
        <v>184281</v>
      </c>
      <c r="AP23" s="132">
        <f t="shared" si="30"/>
        <v>0</v>
      </c>
      <c r="AQ23" s="132"/>
      <c r="AR23" s="132"/>
      <c r="AS23" s="132"/>
      <c r="AT23" s="51"/>
    </row>
    <row r="24" spans="1:46" ht="57" x14ac:dyDescent="0.35">
      <c r="B24" s="129" t="s">
        <v>66</v>
      </c>
      <c r="C24" s="129" t="s">
        <v>349</v>
      </c>
      <c r="D24" s="129"/>
      <c r="E24" s="131"/>
      <c r="F24" s="132">
        <v>903065</v>
      </c>
      <c r="G24" s="132">
        <v>1050985</v>
      </c>
      <c r="H24" s="132">
        <f t="shared" si="24"/>
        <v>1251589.0330000001</v>
      </c>
      <c r="I24" s="132"/>
      <c r="J24" s="132">
        <v>1079887</v>
      </c>
      <c r="K24" s="132"/>
      <c r="L24" s="132">
        <f t="shared" si="31"/>
        <v>171702.033</v>
      </c>
      <c r="M24" s="132"/>
      <c r="N24" s="132"/>
      <c r="O24" s="132">
        <f t="shared" si="25"/>
        <v>1251589.0330000001</v>
      </c>
      <c r="P24" s="132">
        <f>SUM(1050985+28902)</f>
        <v>1079887</v>
      </c>
      <c r="Q24" s="132"/>
      <c r="R24" s="132">
        <v>171702.033</v>
      </c>
      <c r="S24" s="134"/>
      <c r="T24" s="132">
        <v>1251589.0330000001</v>
      </c>
      <c r="U24" s="132">
        <v>0</v>
      </c>
      <c r="V24" s="132">
        <v>469796.57</v>
      </c>
      <c r="W24" s="132"/>
      <c r="X24" s="132"/>
      <c r="Y24" s="132"/>
      <c r="Z24" s="132">
        <f t="shared" si="26"/>
        <v>469796.57</v>
      </c>
      <c r="AA24" s="132">
        <f t="shared" si="27"/>
        <v>781792.46299999999</v>
      </c>
      <c r="AB24" s="132">
        <f t="shared" si="28"/>
        <v>0</v>
      </c>
      <c r="AC24" s="132"/>
      <c r="AD24" s="132"/>
      <c r="AE24" s="132"/>
      <c r="AF24" s="134"/>
      <c r="AG24" s="90">
        <v>1251589.0330000001</v>
      </c>
      <c r="AH24" s="90">
        <v>0</v>
      </c>
      <c r="AI24" s="90">
        <v>688252.17</v>
      </c>
      <c r="AJ24" s="90"/>
      <c r="AK24" s="90"/>
      <c r="AL24" s="90"/>
      <c r="AM24" s="90">
        <f t="shared" si="32"/>
        <v>688252.17</v>
      </c>
      <c r="AN24" s="90">
        <v>0</v>
      </c>
      <c r="AO24" s="90">
        <f t="shared" si="29"/>
        <v>563336.86300000001</v>
      </c>
      <c r="AP24" s="132">
        <f t="shared" si="30"/>
        <v>0</v>
      </c>
      <c r="AQ24" s="132"/>
      <c r="AR24" s="132"/>
      <c r="AS24" s="132"/>
      <c r="AT24" s="47"/>
    </row>
    <row r="25" spans="1:46" ht="171" x14ac:dyDescent="0.65">
      <c r="B25" s="138" t="s">
        <v>68</v>
      </c>
      <c r="C25" s="138" t="s">
        <v>350</v>
      </c>
      <c r="D25" s="138"/>
      <c r="E25" s="131"/>
      <c r="F25" s="132"/>
      <c r="G25" s="132"/>
      <c r="H25" s="132">
        <f t="shared" si="24"/>
        <v>3029560</v>
      </c>
      <c r="I25" s="139">
        <v>0</v>
      </c>
      <c r="J25" s="139">
        <v>0</v>
      </c>
      <c r="K25" s="139">
        <v>3029560</v>
      </c>
      <c r="L25" s="132">
        <f t="shared" si="31"/>
        <v>0</v>
      </c>
      <c r="M25" s="132"/>
      <c r="N25" s="132"/>
      <c r="O25" s="132">
        <f t="shared" si="25"/>
        <v>3029560</v>
      </c>
      <c r="P25" s="132">
        <v>3029560</v>
      </c>
      <c r="Q25" s="139"/>
      <c r="R25" s="139">
        <v>0</v>
      </c>
      <c r="S25" s="140"/>
      <c r="T25" s="139">
        <v>3029560</v>
      </c>
      <c r="U25" s="132">
        <v>0</v>
      </c>
      <c r="V25" s="139">
        <v>0</v>
      </c>
      <c r="W25" s="139">
        <v>2929806.44</v>
      </c>
      <c r="X25" s="132"/>
      <c r="Y25" s="132"/>
      <c r="Z25" s="132">
        <f t="shared" si="26"/>
        <v>2929806.44</v>
      </c>
      <c r="AA25" s="132">
        <f t="shared" si="27"/>
        <v>99753.560000000056</v>
      </c>
      <c r="AB25" s="132">
        <f t="shared" si="28"/>
        <v>0</v>
      </c>
      <c r="AC25" s="132"/>
      <c r="AD25" s="139"/>
      <c r="AE25" s="139"/>
      <c r="AF25" s="140"/>
      <c r="AG25" s="91">
        <v>3029560</v>
      </c>
      <c r="AH25" s="90">
        <v>0</v>
      </c>
      <c r="AI25" s="91">
        <v>0</v>
      </c>
      <c r="AJ25" s="91">
        <v>4471039.26</v>
      </c>
      <c r="AK25" s="90"/>
      <c r="AL25" s="90"/>
      <c r="AM25" s="90">
        <f t="shared" si="32"/>
        <v>4471039.26</v>
      </c>
      <c r="AN25" s="90">
        <v>0</v>
      </c>
      <c r="AO25" s="90">
        <f t="shared" si="29"/>
        <v>-1441479.2599999998</v>
      </c>
      <c r="AP25" s="132">
        <f t="shared" si="30"/>
        <v>0</v>
      </c>
      <c r="AQ25" s="132"/>
      <c r="AR25" s="139"/>
      <c r="AS25" s="139"/>
      <c r="AT25" s="51"/>
    </row>
    <row r="26" spans="1:46" ht="28.5" x14ac:dyDescent="0.35">
      <c r="B26" s="161"/>
      <c r="C26" s="161"/>
      <c r="D26" s="161"/>
      <c r="E26" s="136"/>
      <c r="F26" s="123"/>
      <c r="G26" s="123"/>
      <c r="H26" s="123"/>
      <c r="I26" s="123"/>
      <c r="J26" s="123"/>
      <c r="K26" s="123"/>
      <c r="L26" s="123"/>
      <c r="M26" s="123"/>
      <c r="N26" s="123"/>
      <c r="O26" s="123"/>
      <c r="P26" s="123"/>
      <c r="Q26" s="123"/>
      <c r="R26" s="123"/>
      <c r="S26" s="137"/>
      <c r="T26" s="123"/>
      <c r="U26" s="123"/>
      <c r="V26" s="123"/>
      <c r="W26" s="123"/>
      <c r="X26" s="123"/>
      <c r="Y26" s="123"/>
      <c r="Z26" s="123"/>
      <c r="AA26" s="123"/>
      <c r="AB26" s="123"/>
      <c r="AC26" s="123"/>
      <c r="AD26" s="123"/>
      <c r="AE26" s="123"/>
      <c r="AF26" s="137"/>
      <c r="AG26" s="87"/>
      <c r="AH26" s="87"/>
      <c r="AI26" s="87"/>
      <c r="AJ26" s="87"/>
      <c r="AK26" s="87"/>
      <c r="AL26" s="87"/>
      <c r="AM26" s="87"/>
      <c r="AN26" s="87"/>
      <c r="AO26" s="87"/>
      <c r="AP26" s="123"/>
      <c r="AQ26" s="123"/>
      <c r="AR26" s="123"/>
      <c r="AS26" s="123"/>
      <c r="AT26" s="51"/>
    </row>
    <row r="27" spans="1:46" s="5" customFormat="1" ht="57" x14ac:dyDescent="0.65">
      <c r="A27" s="5">
        <v>1.3</v>
      </c>
      <c r="B27" s="170" t="s">
        <v>69</v>
      </c>
      <c r="C27" s="198" t="s">
        <v>429</v>
      </c>
      <c r="D27" s="199"/>
      <c r="E27" s="127"/>
      <c r="F27" s="128">
        <f t="shared" ref="F27:S27" si="33">+SUM(F28:F31)</f>
        <v>2531904</v>
      </c>
      <c r="G27" s="128">
        <f t="shared" si="33"/>
        <v>723455</v>
      </c>
      <c r="H27" s="128">
        <f>+SUM(H28:H31)</f>
        <v>2994566.25</v>
      </c>
      <c r="I27" s="128">
        <f t="shared" si="33"/>
        <v>0</v>
      </c>
      <c r="J27" s="128">
        <f t="shared" si="33"/>
        <v>2583750</v>
      </c>
      <c r="K27" s="128">
        <f t="shared" si="33"/>
        <v>0</v>
      </c>
      <c r="L27" s="128">
        <f>+SUM(L28:L31)</f>
        <v>410816.25</v>
      </c>
      <c r="M27" s="128">
        <f t="shared" si="33"/>
        <v>0</v>
      </c>
      <c r="N27" s="128">
        <f t="shared" si="33"/>
        <v>0</v>
      </c>
      <c r="O27" s="128">
        <f t="shared" si="33"/>
        <v>2994566.25</v>
      </c>
      <c r="P27" s="128">
        <f>+SUM(P28:P31)</f>
        <v>1937152</v>
      </c>
      <c r="Q27" s="128">
        <f t="shared" ref="Q27" si="34">+SUM(Q28:Q31)</f>
        <v>646598</v>
      </c>
      <c r="R27" s="128">
        <f t="shared" si="33"/>
        <v>410816.25</v>
      </c>
      <c r="S27" s="128">
        <f t="shared" si="33"/>
        <v>0</v>
      </c>
      <c r="T27" s="128">
        <v>2994566.25</v>
      </c>
      <c r="U27" s="128">
        <f t="shared" ref="U27" si="35">+SUM(U28:U39)</f>
        <v>0</v>
      </c>
      <c r="V27" s="128">
        <f>+SUM(V28:V31)</f>
        <v>483149.41000000003</v>
      </c>
      <c r="W27" s="128">
        <f t="shared" ref="W27:AB27" si="36">+SUM(W28:W31)</f>
        <v>0</v>
      </c>
      <c r="X27" s="128">
        <f t="shared" si="36"/>
        <v>0</v>
      </c>
      <c r="Y27" s="128">
        <f t="shared" si="36"/>
        <v>0</v>
      </c>
      <c r="Z27" s="128">
        <f>+SUM(Z28:Z31)</f>
        <v>483149.41000000003</v>
      </c>
      <c r="AA27" s="128">
        <f>+SUM(AA28:AA31)</f>
        <v>2511416.84</v>
      </c>
      <c r="AB27" s="128">
        <f t="shared" si="36"/>
        <v>0</v>
      </c>
      <c r="AC27" s="128">
        <f>+SUM(AC28:AC31)</f>
        <v>0</v>
      </c>
      <c r="AD27" s="128">
        <f t="shared" ref="AD27:AF27" si="37">+SUM(AD28:AD31)</f>
        <v>0</v>
      </c>
      <c r="AE27" s="128">
        <f t="shared" si="37"/>
        <v>0</v>
      </c>
      <c r="AF27" s="128">
        <f t="shared" si="37"/>
        <v>0</v>
      </c>
      <c r="AG27" s="89">
        <v>2994566.25</v>
      </c>
      <c r="AH27" s="89">
        <f t="shared" ref="AH27" si="38">+SUM(AH28:AH39)</f>
        <v>0</v>
      </c>
      <c r="AI27" s="89">
        <f>+SUM(AI28:AI31)</f>
        <v>759753.59</v>
      </c>
      <c r="AJ27" s="89">
        <f t="shared" ref="AJ27:AL27" si="39">+SUM(AJ28:AJ31)</f>
        <v>0</v>
      </c>
      <c r="AK27" s="89">
        <f t="shared" si="39"/>
        <v>0</v>
      </c>
      <c r="AL27" s="89">
        <f t="shared" si="39"/>
        <v>0</v>
      </c>
      <c r="AM27" s="89">
        <f>+SUM(AM28:AM31)</f>
        <v>759753.59</v>
      </c>
      <c r="AN27" s="89">
        <f>+SUM(AN28:AN31)</f>
        <v>0</v>
      </c>
      <c r="AO27" s="89">
        <f>+SUM(AO28:AO31)</f>
        <v>2234812.66</v>
      </c>
      <c r="AP27" s="128">
        <f t="shared" ref="AP27" si="40">+SUM(AP28:AP31)</f>
        <v>0</v>
      </c>
      <c r="AQ27" s="128">
        <f>+SUM(AQ28:AQ31)</f>
        <v>0</v>
      </c>
      <c r="AR27" s="128">
        <f t="shared" ref="AR27:AS27" si="41">+SUM(AR28:AR31)</f>
        <v>0</v>
      </c>
      <c r="AS27" s="128">
        <f t="shared" si="41"/>
        <v>0</v>
      </c>
      <c r="AT27" s="51"/>
    </row>
    <row r="28" spans="1:46" ht="85.5" x14ac:dyDescent="0.65">
      <c r="B28" s="138" t="s">
        <v>70</v>
      </c>
      <c r="C28" s="138" t="s">
        <v>351</v>
      </c>
      <c r="D28" s="138"/>
      <c r="E28" s="131"/>
      <c r="F28" s="132">
        <v>224832</v>
      </c>
      <c r="G28" s="132">
        <v>219516</v>
      </c>
      <c r="H28" s="132">
        <f>SUM(I28:N28)</f>
        <v>267746.38500000001</v>
      </c>
      <c r="I28" s="139">
        <v>0</v>
      </c>
      <c r="J28" s="139">
        <v>231015</v>
      </c>
      <c r="K28" s="139"/>
      <c r="L28" s="132">
        <f t="shared" ref="L28:L31" si="42">SUM(J28*15.9%)</f>
        <v>36731.385000000002</v>
      </c>
      <c r="M28" s="132"/>
      <c r="N28" s="132"/>
      <c r="O28" s="132">
        <f>SUM(P28:R28)</f>
        <v>267746.38500000001</v>
      </c>
      <c r="P28" s="132">
        <f>SUM(224832+6183)</f>
        <v>231015</v>
      </c>
      <c r="Q28" s="139"/>
      <c r="R28" s="139">
        <v>36731.385000000002</v>
      </c>
      <c r="S28" s="140"/>
      <c r="T28" s="139">
        <v>267746.38500000001</v>
      </c>
      <c r="U28" s="139">
        <v>0</v>
      </c>
      <c r="V28" s="139">
        <v>41007.82</v>
      </c>
      <c r="W28" s="139"/>
      <c r="X28" s="132"/>
      <c r="Y28" s="132"/>
      <c r="Z28" s="132">
        <f>SUM(U28:Y28)</f>
        <v>41007.82</v>
      </c>
      <c r="AA28" s="132">
        <f t="shared" ref="AA28:AA31" si="43">SUM(T28-Z28)</f>
        <v>226738.565</v>
      </c>
      <c r="AB28" s="132">
        <f>SUM(AC28:AE28)</f>
        <v>0</v>
      </c>
      <c r="AC28" s="132"/>
      <c r="AD28" s="139"/>
      <c r="AE28" s="139"/>
      <c r="AF28" s="140"/>
      <c r="AG28" s="91">
        <v>267746.38500000001</v>
      </c>
      <c r="AH28" s="91">
        <v>0</v>
      </c>
      <c r="AI28" s="91">
        <v>63000.15</v>
      </c>
      <c r="AJ28" s="91"/>
      <c r="AK28" s="90"/>
      <c r="AL28" s="90"/>
      <c r="AM28" s="90">
        <f>SUM(AH28:AL28)</f>
        <v>63000.15</v>
      </c>
      <c r="AN28" s="90">
        <v>0</v>
      </c>
      <c r="AO28" s="90">
        <f>SUM(AG28-AM28)</f>
        <v>204746.23500000002</v>
      </c>
      <c r="AP28" s="132">
        <f>SUM(AQ28:AS28)</f>
        <v>0</v>
      </c>
      <c r="AQ28" s="132"/>
      <c r="AR28" s="139"/>
      <c r="AS28" s="139"/>
      <c r="AT28" s="51"/>
    </row>
    <row r="29" spans="1:46" ht="114" x14ac:dyDescent="0.65">
      <c r="B29" s="138" t="s">
        <v>74</v>
      </c>
      <c r="C29" s="138" t="s">
        <v>352</v>
      </c>
      <c r="D29" s="138"/>
      <c r="E29" s="131"/>
      <c r="F29" s="132">
        <v>188872</v>
      </c>
      <c r="G29" s="132">
        <v>0</v>
      </c>
      <c r="H29" s="132">
        <f>SUM(I29:N29)</f>
        <v>224922.49400000001</v>
      </c>
      <c r="I29" s="139">
        <v>0</v>
      </c>
      <c r="J29" s="139">
        <v>194066</v>
      </c>
      <c r="K29" s="139"/>
      <c r="L29" s="132">
        <f t="shared" si="42"/>
        <v>30856.493999999999</v>
      </c>
      <c r="M29" s="132"/>
      <c r="N29" s="132"/>
      <c r="O29" s="132">
        <f>SUM(P29:R29)</f>
        <v>224922.49400000001</v>
      </c>
      <c r="P29" s="132">
        <f>SUM(188872+5194)</f>
        <v>194066</v>
      </c>
      <c r="Q29" s="139"/>
      <c r="R29" s="139">
        <v>30856.493999999999</v>
      </c>
      <c r="S29" s="140"/>
      <c r="T29" s="139">
        <v>224922.49400000001</v>
      </c>
      <c r="U29" s="139">
        <v>0</v>
      </c>
      <c r="V29" s="139">
        <v>33029.21</v>
      </c>
      <c r="W29" s="139"/>
      <c r="X29" s="132"/>
      <c r="Y29" s="132"/>
      <c r="Z29" s="132">
        <f t="shared" ref="Z29:Z31" si="44">SUM(U29:Y29)</f>
        <v>33029.21</v>
      </c>
      <c r="AA29" s="132">
        <f t="shared" si="43"/>
        <v>191893.28400000001</v>
      </c>
      <c r="AB29" s="132">
        <f>SUM(AC29:AE29)</f>
        <v>0</v>
      </c>
      <c r="AC29" s="132"/>
      <c r="AD29" s="139"/>
      <c r="AE29" s="139"/>
      <c r="AF29" s="140"/>
      <c r="AG29" s="91">
        <v>224922.49400000001</v>
      </c>
      <c r="AH29" s="91">
        <v>0</v>
      </c>
      <c r="AI29" s="91">
        <v>74256.160000000003</v>
      </c>
      <c r="AJ29" s="91"/>
      <c r="AK29" s="90"/>
      <c r="AL29" s="90"/>
      <c r="AM29" s="90">
        <f t="shared" ref="AM29:AM31" si="45">SUM(AH29:AL29)</f>
        <v>74256.160000000003</v>
      </c>
      <c r="AN29" s="90">
        <v>0</v>
      </c>
      <c r="AO29" s="90">
        <f>SUM(AG29-AM29)</f>
        <v>150666.334</v>
      </c>
      <c r="AP29" s="132">
        <f>SUM(AQ29:AS29)</f>
        <v>0</v>
      </c>
      <c r="AQ29" s="132"/>
      <c r="AR29" s="139"/>
      <c r="AS29" s="139"/>
      <c r="AT29" s="51"/>
    </row>
    <row r="30" spans="1:46" ht="85.5" x14ac:dyDescent="0.65">
      <c r="B30" s="138" t="s">
        <v>76</v>
      </c>
      <c r="C30" s="138" t="s">
        <v>353</v>
      </c>
      <c r="D30" s="138"/>
      <c r="E30" s="131"/>
      <c r="F30" s="132">
        <v>270392</v>
      </c>
      <c r="G30" s="132">
        <v>455912</v>
      </c>
      <c r="H30" s="132">
        <f>SUM(I30:N30)</f>
        <v>322002.652</v>
      </c>
      <c r="I30" s="139">
        <v>0</v>
      </c>
      <c r="J30" s="139">
        <v>277828</v>
      </c>
      <c r="K30" s="139"/>
      <c r="L30" s="132">
        <f t="shared" si="42"/>
        <v>44174.652000000002</v>
      </c>
      <c r="M30" s="132"/>
      <c r="N30" s="132"/>
      <c r="O30" s="132">
        <f>SUM(P30:R30)</f>
        <v>322002.652</v>
      </c>
      <c r="P30" s="132">
        <f>SUM(270392+7436)</f>
        <v>277828</v>
      </c>
      <c r="Q30" s="139"/>
      <c r="R30" s="139">
        <v>44174.652000000002</v>
      </c>
      <c r="S30" s="140"/>
      <c r="T30" s="139">
        <v>322002.652</v>
      </c>
      <c r="U30" s="139">
        <v>0</v>
      </c>
      <c r="V30" s="139">
        <v>301319.77</v>
      </c>
      <c r="W30" s="139"/>
      <c r="X30" s="132"/>
      <c r="Y30" s="132"/>
      <c r="Z30" s="132">
        <f t="shared" si="44"/>
        <v>301319.77</v>
      </c>
      <c r="AA30" s="132">
        <f t="shared" si="43"/>
        <v>20682.881999999983</v>
      </c>
      <c r="AB30" s="132">
        <f>SUM(AC30:AE30)</f>
        <v>0</v>
      </c>
      <c r="AC30" s="132"/>
      <c r="AD30" s="139"/>
      <c r="AE30" s="139"/>
      <c r="AF30" s="140"/>
      <c r="AG30" s="91">
        <v>322002.652</v>
      </c>
      <c r="AH30" s="91">
        <v>0</v>
      </c>
      <c r="AI30" s="91">
        <v>450308.2</v>
      </c>
      <c r="AJ30" s="91"/>
      <c r="AK30" s="90"/>
      <c r="AL30" s="90"/>
      <c r="AM30" s="90">
        <f t="shared" si="45"/>
        <v>450308.2</v>
      </c>
      <c r="AN30" s="90">
        <v>0</v>
      </c>
      <c r="AO30" s="90">
        <f>SUM(AG30-AM30)</f>
        <v>-128305.54800000001</v>
      </c>
      <c r="AP30" s="132">
        <f>SUM(AQ30:AS30)</f>
        <v>0</v>
      </c>
      <c r="AQ30" s="132"/>
      <c r="AR30" s="139"/>
      <c r="AS30" s="139"/>
      <c r="AT30" s="51"/>
    </row>
    <row r="31" spans="1:46" ht="399" x14ac:dyDescent="0.65">
      <c r="B31" s="138" t="s">
        <v>78</v>
      </c>
      <c r="C31" s="138" t="s">
        <v>354</v>
      </c>
      <c r="D31" s="138"/>
      <c r="E31" s="131"/>
      <c r="F31" s="132">
        <v>1847808</v>
      </c>
      <c r="G31" s="132">
        <v>48027</v>
      </c>
      <c r="H31" s="132">
        <f>SUM(I31:N31)</f>
        <v>2179894.719</v>
      </c>
      <c r="I31" s="139">
        <v>0</v>
      </c>
      <c r="J31" s="139">
        <v>1880841</v>
      </c>
      <c r="K31" s="139"/>
      <c r="L31" s="132">
        <f t="shared" si="42"/>
        <v>299053.71899999998</v>
      </c>
      <c r="M31" s="132"/>
      <c r="N31" s="132"/>
      <c r="O31" s="132">
        <f>SUM(P31:R31)</f>
        <v>2179894.719</v>
      </c>
      <c r="P31" s="132">
        <f>SUM(1201210+33033)</f>
        <v>1234243</v>
      </c>
      <c r="Q31" s="139">
        <v>646598</v>
      </c>
      <c r="R31" s="139">
        <v>299053.71899999998</v>
      </c>
      <c r="S31" s="140"/>
      <c r="T31" s="139">
        <v>2179894.719</v>
      </c>
      <c r="U31" s="139">
        <v>0</v>
      </c>
      <c r="V31" s="139">
        <v>107792.61</v>
      </c>
      <c r="W31" s="139"/>
      <c r="X31" s="132"/>
      <c r="Y31" s="132"/>
      <c r="Z31" s="132">
        <f t="shared" si="44"/>
        <v>107792.61</v>
      </c>
      <c r="AA31" s="132">
        <f t="shared" si="43"/>
        <v>2072102.1089999999</v>
      </c>
      <c r="AB31" s="132">
        <f>SUM(AC31:AE31)</f>
        <v>0</v>
      </c>
      <c r="AC31" s="132"/>
      <c r="AD31" s="139"/>
      <c r="AE31" s="139"/>
      <c r="AF31" s="140"/>
      <c r="AG31" s="91">
        <v>2179894.719</v>
      </c>
      <c r="AH31" s="91">
        <v>0</v>
      </c>
      <c r="AI31" s="91">
        <v>172189.08</v>
      </c>
      <c r="AJ31" s="91"/>
      <c r="AK31" s="90"/>
      <c r="AL31" s="90"/>
      <c r="AM31" s="90">
        <f t="shared" si="45"/>
        <v>172189.08</v>
      </c>
      <c r="AN31" s="90">
        <v>0</v>
      </c>
      <c r="AO31" s="90">
        <f>SUM(AG31-AM31)</f>
        <v>2007705.639</v>
      </c>
      <c r="AP31" s="132">
        <f>SUM(AQ31:AS31)</f>
        <v>0</v>
      </c>
      <c r="AQ31" s="132"/>
      <c r="AR31" s="139"/>
      <c r="AS31" s="139"/>
      <c r="AT31" s="51"/>
    </row>
    <row r="32" spans="1:46" ht="28.5" x14ac:dyDescent="0.35">
      <c r="B32" s="161"/>
      <c r="C32" s="161"/>
      <c r="D32" s="161"/>
      <c r="E32" s="136"/>
      <c r="F32" s="123"/>
      <c r="G32" s="123"/>
      <c r="H32" s="123"/>
      <c r="I32" s="123"/>
      <c r="J32" s="123"/>
      <c r="K32" s="123"/>
      <c r="L32" s="123"/>
      <c r="M32" s="123"/>
      <c r="N32" s="123"/>
      <c r="O32" s="123"/>
      <c r="P32" s="123"/>
      <c r="Q32" s="123"/>
      <c r="R32" s="123"/>
      <c r="S32" s="137"/>
      <c r="T32" s="123"/>
      <c r="U32" s="123"/>
      <c r="V32" s="123"/>
      <c r="W32" s="123"/>
      <c r="X32" s="123"/>
      <c r="Y32" s="123"/>
      <c r="Z32" s="123"/>
      <c r="AA32" s="123"/>
      <c r="AB32" s="123"/>
      <c r="AC32" s="123"/>
      <c r="AD32" s="123"/>
      <c r="AE32" s="123"/>
      <c r="AF32" s="137"/>
      <c r="AG32" s="87"/>
      <c r="AH32" s="87"/>
      <c r="AI32" s="87"/>
      <c r="AJ32" s="87"/>
      <c r="AK32" s="87"/>
      <c r="AL32" s="87"/>
      <c r="AM32" s="87"/>
      <c r="AN32" s="87"/>
      <c r="AO32" s="87"/>
      <c r="AP32" s="123"/>
      <c r="AQ32" s="123"/>
      <c r="AR32" s="123"/>
      <c r="AS32" s="123"/>
      <c r="AT32" s="51"/>
    </row>
    <row r="33" spans="1:46" s="5" customFormat="1" ht="57" x14ac:dyDescent="0.65">
      <c r="A33" s="5">
        <v>1.5</v>
      </c>
      <c r="B33" s="170" t="s">
        <v>80</v>
      </c>
      <c r="C33" s="198" t="s">
        <v>430</v>
      </c>
      <c r="D33" s="199"/>
      <c r="E33" s="127"/>
      <c r="F33" s="128">
        <f t="shared" ref="F33:R33" si="46">+SUM(F34:F34)</f>
        <v>0</v>
      </c>
      <c r="G33" s="128">
        <f t="shared" si="46"/>
        <v>0</v>
      </c>
      <c r="H33" s="128">
        <f>+SUM(H34:H34)</f>
        <v>0</v>
      </c>
      <c r="I33" s="128">
        <f t="shared" si="46"/>
        <v>0</v>
      </c>
      <c r="J33" s="128">
        <f t="shared" si="46"/>
        <v>0</v>
      </c>
      <c r="K33" s="128">
        <f t="shared" si="46"/>
        <v>0</v>
      </c>
      <c r="L33" s="128">
        <f t="shared" si="46"/>
        <v>0</v>
      </c>
      <c r="M33" s="128">
        <f t="shared" si="46"/>
        <v>0</v>
      </c>
      <c r="N33" s="128">
        <f t="shared" si="46"/>
        <v>0</v>
      </c>
      <c r="O33" s="128">
        <f t="shared" si="46"/>
        <v>0</v>
      </c>
      <c r="P33" s="128">
        <f t="shared" si="46"/>
        <v>0</v>
      </c>
      <c r="Q33" s="128">
        <f t="shared" si="46"/>
        <v>0</v>
      </c>
      <c r="R33" s="128">
        <f t="shared" si="46"/>
        <v>0</v>
      </c>
      <c r="S33" s="141"/>
      <c r="T33" s="128">
        <v>0</v>
      </c>
      <c r="U33" s="128">
        <f>+SUM(U34:U46)</f>
        <v>0</v>
      </c>
      <c r="V33" s="128">
        <f>+SUM(V34:V34)</f>
        <v>0</v>
      </c>
      <c r="W33" s="128">
        <f t="shared" ref="W33:Y33" si="47">+SUM(W34:W34)</f>
        <v>0</v>
      </c>
      <c r="X33" s="128">
        <f t="shared" si="47"/>
        <v>0</v>
      </c>
      <c r="Y33" s="128">
        <f t="shared" si="47"/>
        <v>0</v>
      </c>
      <c r="Z33" s="128">
        <f>+SUM(Z34:Z34)</f>
        <v>0</v>
      </c>
      <c r="AA33" s="128">
        <f>+SUM(AA34:AA34)</f>
        <v>0</v>
      </c>
      <c r="AB33" s="128">
        <f t="shared" ref="AB33:AE33" si="48">+SUM(AB34:AB34)</f>
        <v>0</v>
      </c>
      <c r="AC33" s="128">
        <f t="shared" si="48"/>
        <v>0</v>
      </c>
      <c r="AD33" s="128">
        <f t="shared" si="48"/>
        <v>0</v>
      </c>
      <c r="AE33" s="128">
        <f t="shared" si="48"/>
        <v>0</v>
      </c>
      <c r="AF33" s="141"/>
      <c r="AG33" s="89">
        <v>0</v>
      </c>
      <c r="AH33" s="89">
        <f>+SUM(AH34:AH46)</f>
        <v>0</v>
      </c>
      <c r="AI33" s="89">
        <f>+SUM(AI34)</f>
        <v>0</v>
      </c>
      <c r="AJ33" s="89">
        <f t="shared" ref="AJ33:AL33" si="49">+SUM(AJ34:AJ34)</f>
        <v>0</v>
      </c>
      <c r="AK33" s="89">
        <f t="shared" si="49"/>
        <v>0</v>
      </c>
      <c r="AL33" s="89">
        <f t="shared" si="49"/>
        <v>0</v>
      </c>
      <c r="AM33" s="89">
        <f>+SUM(AM34:AM34)</f>
        <v>0</v>
      </c>
      <c r="AN33" s="89">
        <f>+SUM(AN34:AN34)</f>
        <v>0</v>
      </c>
      <c r="AO33" s="89">
        <f>+SUM(AO34:AO34)</f>
        <v>0</v>
      </c>
      <c r="AP33" s="128">
        <f t="shared" ref="AP33:AS33" si="50">+SUM(AP34:AP34)</f>
        <v>0</v>
      </c>
      <c r="AQ33" s="128">
        <f t="shared" si="50"/>
        <v>0</v>
      </c>
      <c r="AR33" s="128">
        <f t="shared" si="50"/>
        <v>0</v>
      </c>
      <c r="AS33" s="128">
        <f t="shared" si="50"/>
        <v>0</v>
      </c>
      <c r="AT33" s="51"/>
    </row>
    <row r="34" spans="1:46" ht="114" x14ac:dyDescent="0.35">
      <c r="B34" s="142" t="s">
        <v>81</v>
      </c>
      <c r="C34" s="142" t="s">
        <v>355</v>
      </c>
      <c r="D34" s="142"/>
      <c r="E34" s="131"/>
      <c r="F34" s="132">
        <v>0</v>
      </c>
      <c r="G34" s="132">
        <v>0</v>
      </c>
      <c r="H34" s="132">
        <f>SUM(I34:N34)</f>
        <v>0</v>
      </c>
      <c r="I34" s="139">
        <v>0</v>
      </c>
      <c r="J34" s="144"/>
      <c r="K34" s="144"/>
      <c r="L34" s="144"/>
      <c r="M34" s="132"/>
      <c r="N34" s="132"/>
      <c r="O34" s="132"/>
      <c r="P34" s="132"/>
      <c r="Q34" s="145"/>
      <c r="R34" s="145"/>
      <c r="S34" s="146"/>
      <c r="T34" s="139">
        <v>0</v>
      </c>
      <c r="U34" s="139">
        <v>0</v>
      </c>
      <c r="V34" s="139">
        <v>0</v>
      </c>
      <c r="W34" s="139"/>
      <c r="X34" s="147"/>
      <c r="Y34" s="147"/>
      <c r="Z34" s="132">
        <f>SUM(AA34:AT34)</f>
        <v>0</v>
      </c>
      <c r="AA34" s="132">
        <f>SUM(AB34:AT34)</f>
        <v>0</v>
      </c>
      <c r="AB34" s="132"/>
      <c r="AC34" s="132"/>
      <c r="AD34" s="145"/>
      <c r="AE34" s="145"/>
      <c r="AF34" s="146"/>
      <c r="AG34" s="91">
        <v>0</v>
      </c>
      <c r="AH34" s="91">
        <v>0</v>
      </c>
      <c r="AI34" s="91">
        <v>0</v>
      </c>
      <c r="AJ34" s="91"/>
      <c r="AK34" s="92"/>
      <c r="AL34" s="92"/>
      <c r="AM34" s="90">
        <f>SUM(AO34:AT34)</f>
        <v>0</v>
      </c>
      <c r="AN34" s="90">
        <f>SUM(AP34:AT34)</f>
        <v>0</v>
      </c>
      <c r="AO34" s="90">
        <f>SUM(AP34:AT34)</f>
        <v>0</v>
      </c>
      <c r="AP34" s="132"/>
      <c r="AQ34" s="132"/>
      <c r="AR34" s="145"/>
      <c r="AS34" s="145"/>
      <c r="AT34" s="51"/>
    </row>
    <row r="35" spans="1:46" ht="28.5" x14ac:dyDescent="0.35">
      <c r="B35" s="161"/>
      <c r="C35" s="161"/>
      <c r="D35" s="161"/>
      <c r="E35" s="136"/>
      <c r="F35" s="123"/>
      <c r="G35" s="123"/>
      <c r="H35" s="123"/>
      <c r="I35" s="123"/>
      <c r="J35" s="123"/>
      <c r="K35" s="123"/>
      <c r="L35" s="123"/>
      <c r="M35" s="123"/>
      <c r="N35" s="123"/>
      <c r="O35" s="123"/>
      <c r="P35" s="123"/>
      <c r="Q35" s="123"/>
      <c r="R35" s="123"/>
      <c r="S35" s="137"/>
      <c r="T35" s="123"/>
      <c r="U35" s="123"/>
      <c r="V35" s="123"/>
      <c r="W35" s="123"/>
      <c r="X35" s="123"/>
      <c r="Y35" s="123"/>
      <c r="Z35" s="123"/>
      <c r="AA35" s="123"/>
      <c r="AB35" s="123"/>
      <c r="AC35" s="123"/>
      <c r="AD35" s="123"/>
      <c r="AE35" s="123"/>
      <c r="AF35" s="137"/>
      <c r="AG35" s="87"/>
      <c r="AH35" s="87"/>
      <c r="AI35" s="87"/>
      <c r="AJ35" s="87"/>
      <c r="AK35" s="87"/>
      <c r="AL35" s="87"/>
      <c r="AM35" s="87"/>
      <c r="AN35" s="87"/>
      <c r="AO35" s="87"/>
      <c r="AP35" s="123"/>
      <c r="AQ35" s="123"/>
      <c r="AR35" s="123"/>
      <c r="AS35" s="123"/>
      <c r="AT35" s="51"/>
    </row>
    <row r="36" spans="1:46" s="5" customFormat="1" ht="57" x14ac:dyDescent="0.65">
      <c r="A36" s="5">
        <v>1.5</v>
      </c>
      <c r="B36" s="170" t="s">
        <v>84</v>
      </c>
      <c r="C36" s="198" t="s">
        <v>430</v>
      </c>
      <c r="D36" s="199"/>
      <c r="E36" s="127"/>
      <c r="F36" s="128">
        <f t="shared" ref="F36:R36" si="51">+SUM(F37:F39)</f>
        <v>13458595</v>
      </c>
      <c r="G36" s="128">
        <f t="shared" si="51"/>
        <v>13380908</v>
      </c>
      <c r="H36" s="128">
        <f>+SUM(H37:H39)</f>
        <v>16882478.461999997</v>
      </c>
      <c r="I36" s="128">
        <f t="shared" si="51"/>
        <v>0</v>
      </c>
      <c r="J36" s="128">
        <f t="shared" si="51"/>
        <v>14566418</v>
      </c>
      <c r="K36" s="128">
        <f t="shared" si="51"/>
        <v>0</v>
      </c>
      <c r="L36" s="128">
        <f>+SUM(L37:L39)</f>
        <v>2316060.4620000003</v>
      </c>
      <c r="M36" s="128">
        <f t="shared" si="51"/>
        <v>0</v>
      </c>
      <c r="N36" s="128">
        <f t="shared" si="51"/>
        <v>0</v>
      </c>
      <c r="O36" s="128">
        <f t="shared" si="51"/>
        <v>16882478.461999997</v>
      </c>
      <c r="P36" s="128">
        <f>+SUM(P37:P39)</f>
        <v>14566418</v>
      </c>
      <c r="Q36" s="128">
        <f t="shared" ref="Q36" si="52">+SUM(Q37:Q39)</f>
        <v>0</v>
      </c>
      <c r="R36" s="128">
        <f t="shared" si="51"/>
        <v>2316060.4620000003</v>
      </c>
      <c r="S36" s="141"/>
      <c r="T36" s="128">
        <v>16882478.461999997</v>
      </c>
      <c r="U36" s="128">
        <f>+SUM(U37:U49)</f>
        <v>0</v>
      </c>
      <c r="V36" s="128">
        <f>+SUM(V37:V39)</f>
        <v>213603.5</v>
      </c>
      <c r="W36" s="128">
        <f t="shared" ref="W36:AB36" si="53">+SUM(W37:W39)</f>
        <v>0</v>
      </c>
      <c r="X36" s="128">
        <f t="shared" si="53"/>
        <v>0</v>
      </c>
      <c r="Y36" s="128">
        <f t="shared" si="53"/>
        <v>0</v>
      </c>
      <c r="Z36" s="128">
        <f>+SUM(Z37:Z39)</f>
        <v>213603.5</v>
      </c>
      <c r="AA36" s="128">
        <f>+SUM(AA37:AA39)</f>
        <v>16668874.961999999</v>
      </c>
      <c r="AB36" s="128">
        <f t="shared" si="53"/>
        <v>0</v>
      </c>
      <c r="AC36" s="128">
        <f>+SUM(AC37:AC39)</f>
        <v>0</v>
      </c>
      <c r="AD36" s="128">
        <f t="shared" ref="AD36:AE36" si="54">+SUM(AD37:AD39)</f>
        <v>0</v>
      </c>
      <c r="AE36" s="128">
        <f t="shared" si="54"/>
        <v>0</v>
      </c>
      <c r="AF36" s="141"/>
      <c r="AG36" s="89">
        <v>16882478.461999997</v>
      </c>
      <c r="AH36" s="89">
        <f t="shared" ref="AH36:AR36" si="55">+SUM(AH37:AH39)</f>
        <v>0</v>
      </c>
      <c r="AI36" s="89">
        <f t="shared" si="55"/>
        <v>337692.36</v>
      </c>
      <c r="AJ36" s="89">
        <f t="shared" si="55"/>
        <v>0</v>
      </c>
      <c r="AK36" s="89">
        <f t="shared" si="55"/>
        <v>0</v>
      </c>
      <c r="AL36" s="89">
        <f t="shared" si="55"/>
        <v>0</v>
      </c>
      <c r="AM36" s="89">
        <f t="shared" si="55"/>
        <v>337692.36</v>
      </c>
      <c r="AN36" s="89">
        <f t="shared" ref="AN36" si="56">+SUM(AN37:AN39)</f>
        <v>0</v>
      </c>
      <c r="AO36" s="89">
        <f t="shared" si="55"/>
        <v>16544786.102</v>
      </c>
      <c r="AP36" s="128">
        <f t="shared" si="55"/>
        <v>0</v>
      </c>
      <c r="AQ36" s="128">
        <f t="shared" si="55"/>
        <v>0</v>
      </c>
      <c r="AR36" s="128">
        <f t="shared" si="55"/>
        <v>0</v>
      </c>
      <c r="AS36" s="128">
        <f>+SUM(AS37:AS39)</f>
        <v>0</v>
      </c>
      <c r="AT36" s="51"/>
    </row>
    <row r="37" spans="1:46" ht="85.5" x14ac:dyDescent="0.35">
      <c r="B37" s="148" t="s">
        <v>85</v>
      </c>
      <c r="C37" s="148" t="s">
        <v>356</v>
      </c>
      <c r="D37" s="148"/>
      <c r="E37" s="131"/>
      <c r="F37" s="132">
        <f>SUM(9146030+3298391+211101)</f>
        <v>12655522</v>
      </c>
      <c r="G37" s="132">
        <f>SUM(9187196+3649832+181849)</f>
        <v>13018877</v>
      </c>
      <c r="H37" s="132">
        <f>SUM(I37:N37)</f>
        <v>15503822.464</v>
      </c>
      <c r="I37" s="139">
        <v>0</v>
      </c>
      <c r="J37" s="139">
        <v>13376896</v>
      </c>
      <c r="K37" s="139"/>
      <c r="L37" s="132">
        <f t="shared" ref="L37:L39" si="57">SUM(J37*15.9%)</f>
        <v>2126926.4640000002</v>
      </c>
      <c r="M37" s="147"/>
      <c r="N37" s="147"/>
      <c r="O37" s="132">
        <f>SUM(P37:R37)</f>
        <v>15503822.464</v>
      </c>
      <c r="P37" s="147">
        <f>SUM(13018877+358019)</f>
        <v>13376896</v>
      </c>
      <c r="Q37" s="149"/>
      <c r="R37" s="149">
        <v>2126926.4640000002</v>
      </c>
      <c r="S37" s="146"/>
      <c r="T37" s="139">
        <v>15503822.464</v>
      </c>
      <c r="U37" s="139">
        <v>0</v>
      </c>
      <c r="V37" s="139">
        <v>0</v>
      </c>
      <c r="W37" s="139"/>
      <c r="X37" s="147"/>
      <c r="Y37" s="147"/>
      <c r="Z37" s="132">
        <f t="shared" ref="Z37:Z39" si="58">SUM(U37:Y37)</f>
        <v>0</v>
      </c>
      <c r="AA37" s="132">
        <f t="shared" ref="AA37:AA39" si="59">SUM(T37-Z37)</f>
        <v>15503822.464</v>
      </c>
      <c r="AB37" s="132">
        <f>SUM(AC37:AE37)</f>
        <v>0</v>
      </c>
      <c r="AC37" s="147"/>
      <c r="AD37" s="149"/>
      <c r="AE37" s="149"/>
      <c r="AF37" s="146"/>
      <c r="AG37" s="91">
        <v>15503822.464</v>
      </c>
      <c r="AH37" s="91">
        <v>0</v>
      </c>
      <c r="AI37" s="91"/>
      <c r="AJ37" s="91"/>
      <c r="AK37" s="92"/>
      <c r="AL37" s="92"/>
      <c r="AM37" s="90">
        <f t="shared" ref="AM37:AM39" si="60">SUM(AH37:AL37)</f>
        <v>0</v>
      </c>
      <c r="AN37" s="90">
        <v>0</v>
      </c>
      <c r="AO37" s="90">
        <f>SUM(AG37-AM37)</f>
        <v>15503822.464</v>
      </c>
      <c r="AP37" s="132">
        <f>SUM(AQ37:AS37)</f>
        <v>0</v>
      </c>
      <c r="AQ37" s="147"/>
      <c r="AR37" s="149"/>
      <c r="AS37" s="149"/>
      <c r="AT37" s="51"/>
    </row>
    <row r="38" spans="1:46" ht="85.5" x14ac:dyDescent="0.35">
      <c r="B38" s="130" t="s">
        <v>88</v>
      </c>
      <c r="C38" s="192" t="s">
        <v>357</v>
      </c>
      <c r="D38" s="130"/>
      <c r="E38" s="131"/>
      <c r="F38" s="132">
        <v>803073</v>
      </c>
      <c r="G38" s="132">
        <v>362031</v>
      </c>
      <c r="H38" s="132">
        <f>SUM(I38:N38)</f>
        <v>956358.12199999997</v>
      </c>
      <c r="I38" s="139">
        <v>0</v>
      </c>
      <c r="J38" s="139">
        <v>825158</v>
      </c>
      <c r="K38" s="139"/>
      <c r="L38" s="132">
        <f t="shared" si="57"/>
        <v>131200.122</v>
      </c>
      <c r="M38" s="147"/>
      <c r="N38" s="147"/>
      <c r="O38" s="132">
        <f>SUM(P38:R38)</f>
        <v>956358.12199999997</v>
      </c>
      <c r="P38" s="147">
        <f>SUM(803073+22085)</f>
        <v>825158</v>
      </c>
      <c r="Q38" s="149"/>
      <c r="R38" s="149">
        <v>131200.122</v>
      </c>
      <c r="S38" s="146"/>
      <c r="T38" s="139">
        <v>956358.12199999997</v>
      </c>
      <c r="U38" s="139">
        <v>0</v>
      </c>
      <c r="V38" s="139">
        <v>0</v>
      </c>
      <c r="W38" s="139"/>
      <c r="X38" s="147"/>
      <c r="Y38" s="147"/>
      <c r="Z38" s="132">
        <f t="shared" si="58"/>
        <v>0</v>
      </c>
      <c r="AA38" s="132">
        <f t="shared" si="59"/>
        <v>956358.12199999997</v>
      </c>
      <c r="AB38" s="132">
        <f>SUM(AC38:AE38)</f>
        <v>0</v>
      </c>
      <c r="AC38" s="147"/>
      <c r="AD38" s="149"/>
      <c r="AE38" s="149"/>
      <c r="AF38" s="146"/>
      <c r="AG38" s="91">
        <v>956358.12199999997</v>
      </c>
      <c r="AH38" s="91">
        <v>0</v>
      </c>
      <c r="AI38" s="91">
        <v>12783.35</v>
      </c>
      <c r="AJ38" s="91"/>
      <c r="AK38" s="92"/>
      <c r="AL38" s="92"/>
      <c r="AM38" s="90">
        <f t="shared" si="60"/>
        <v>12783.35</v>
      </c>
      <c r="AN38" s="90">
        <v>0</v>
      </c>
      <c r="AO38" s="90">
        <f>SUM(AG38-AM38)</f>
        <v>943574.772</v>
      </c>
      <c r="AP38" s="132">
        <f>SUM(AQ38:AS38)</f>
        <v>0</v>
      </c>
      <c r="AQ38" s="147"/>
      <c r="AR38" s="149"/>
      <c r="AS38" s="149"/>
      <c r="AT38" s="51"/>
    </row>
    <row r="39" spans="1:46" ht="409.5" x14ac:dyDescent="0.65">
      <c r="B39" s="138" t="s">
        <v>90</v>
      </c>
      <c r="C39" s="138" t="s">
        <v>358</v>
      </c>
      <c r="D39" s="138"/>
      <c r="E39" s="131"/>
      <c r="F39" s="132">
        <v>0</v>
      </c>
      <c r="G39" s="132">
        <v>0</v>
      </c>
      <c r="H39" s="132">
        <f>SUM(I39:N39)</f>
        <v>422297.87599999999</v>
      </c>
      <c r="I39" s="139"/>
      <c r="J39" s="139">
        <v>364364</v>
      </c>
      <c r="K39" s="139"/>
      <c r="L39" s="132">
        <f t="shared" si="57"/>
        <v>57933.876000000004</v>
      </c>
      <c r="M39" s="132"/>
      <c r="N39" s="132"/>
      <c r="O39" s="132">
        <f>SUM(P39:R39)</f>
        <v>422297.87599999999</v>
      </c>
      <c r="P39" s="132">
        <f>SUM(354612+9752)</f>
        <v>364364</v>
      </c>
      <c r="Q39" s="145"/>
      <c r="R39" s="145">
        <v>57933.876000000004</v>
      </c>
      <c r="S39" s="146"/>
      <c r="T39" s="139">
        <v>422297.87599999999</v>
      </c>
      <c r="U39" s="139">
        <v>0</v>
      </c>
      <c r="V39" s="139">
        <v>213603.5</v>
      </c>
      <c r="W39" s="139"/>
      <c r="X39" s="139"/>
      <c r="Y39" s="139"/>
      <c r="Z39" s="132">
        <f t="shared" si="58"/>
        <v>213603.5</v>
      </c>
      <c r="AA39" s="132">
        <f t="shared" si="59"/>
        <v>208694.37599999999</v>
      </c>
      <c r="AB39" s="132">
        <f>SUM(AC39:AE39)</f>
        <v>0</v>
      </c>
      <c r="AC39" s="132"/>
      <c r="AD39" s="145"/>
      <c r="AE39" s="145"/>
      <c r="AF39" s="146"/>
      <c r="AG39" s="91">
        <v>422297.87599999999</v>
      </c>
      <c r="AH39" s="91">
        <v>0</v>
      </c>
      <c r="AI39" s="91">
        <v>324909.01</v>
      </c>
      <c r="AJ39" s="91"/>
      <c r="AK39" s="91"/>
      <c r="AL39" s="91"/>
      <c r="AM39" s="90">
        <f t="shared" si="60"/>
        <v>324909.01</v>
      </c>
      <c r="AN39" s="90">
        <v>0</v>
      </c>
      <c r="AO39" s="90">
        <f>SUM(AG39-AM39)</f>
        <v>97388.86599999998</v>
      </c>
      <c r="AP39" s="132">
        <f>SUM(AQ39:AS39)</f>
        <v>0</v>
      </c>
      <c r="AQ39" s="132"/>
      <c r="AR39" s="145"/>
      <c r="AS39" s="145"/>
      <c r="AT39" s="51"/>
    </row>
    <row r="40" spans="1:46" ht="28.5" x14ac:dyDescent="0.35">
      <c r="B40" s="161"/>
      <c r="C40" s="161"/>
      <c r="D40" s="161"/>
      <c r="E40" s="136"/>
      <c r="F40" s="123"/>
      <c r="G40" s="123"/>
      <c r="H40" s="123"/>
      <c r="I40" s="123"/>
      <c r="J40" s="123"/>
      <c r="K40" s="123"/>
      <c r="L40" s="123"/>
      <c r="M40" s="123"/>
      <c r="N40" s="123"/>
      <c r="O40" s="123"/>
      <c r="P40" s="123"/>
      <c r="Q40" s="123"/>
      <c r="R40" s="123"/>
      <c r="S40" s="137"/>
      <c r="T40" s="123"/>
      <c r="U40" s="123"/>
      <c r="V40" s="123"/>
      <c r="W40" s="123"/>
      <c r="X40" s="123"/>
      <c r="Y40" s="123"/>
      <c r="Z40" s="123"/>
      <c r="AA40" s="123"/>
      <c r="AB40" s="123"/>
      <c r="AC40" s="123"/>
      <c r="AD40" s="123"/>
      <c r="AE40" s="123"/>
      <c r="AF40" s="137"/>
      <c r="AG40" s="87"/>
      <c r="AH40" s="87"/>
      <c r="AI40" s="87"/>
      <c r="AJ40" s="87"/>
      <c r="AK40" s="87"/>
      <c r="AL40" s="87"/>
      <c r="AM40" s="87"/>
      <c r="AN40" s="87"/>
      <c r="AO40" s="87"/>
      <c r="AP40" s="123"/>
      <c r="AQ40" s="123"/>
      <c r="AR40" s="123"/>
      <c r="AS40" s="123"/>
      <c r="AT40" s="51"/>
    </row>
    <row r="41" spans="1:46" s="5" customFormat="1" ht="57" x14ac:dyDescent="0.65">
      <c r="A41" s="5">
        <v>1.6</v>
      </c>
      <c r="B41" s="170" t="s">
        <v>91</v>
      </c>
      <c r="C41" s="198" t="s">
        <v>431</v>
      </c>
      <c r="D41" s="199"/>
      <c r="E41" s="127"/>
      <c r="F41" s="128">
        <f t="shared" ref="F41:S41" si="61">+SUM(F42:F44)</f>
        <v>1072237</v>
      </c>
      <c r="G41" s="128">
        <f t="shared" si="61"/>
        <v>638180</v>
      </c>
      <c r="H41" s="128">
        <f>+SUM(H42:H44)</f>
        <v>1072237</v>
      </c>
      <c r="I41" s="128">
        <f t="shared" si="61"/>
        <v>0</v>
      </c>
      <c r="J41" s="128">
        <f t="shared" si="61"/>
        <v>0</v>
      </c>
      <c r="K41" s="128">
        <f t="shared" si="61"/>
        <v>0</v>
      </c>
      <c r="L41" s="128">
        <f t="shared" si="61"/>
        <v>0</v>
      </c>
      <c r="M41" s="128">
        <f t="shared" si="61"/>
        <v>0</v>
      </c>
      <c r="N41" s="128">
        <f>+SUM(N42:N44)</f>
        <v>1072237</v>
      </c>
      <c r="O41" s="128">
        <f t="shared" si="61"/>
        <v>0</v>
      </c>
      <c r="P41" s="128">
        <f t="shared" si="61"/>
        <v>0</v>
      </c>
      <c r="Q41" s="128">
        <f t="shared" si="61"/>
        <v>0</v>
      </c>
      <c r="R41" s="128">
        <f t="shared" si="61"/>
        <v>0</v>
      </c>
      <c r="S41" s="128">
        <f t="shared" si="61"/>
        <v>0</v>
      </c>
      <c r="T41" s="128">
        <v>1072237</v>
      </c>
      <c r="U41" s="128">
        <f>+SUM(U42:U53)</f>
        <v>0</v>
      </c>
      <c r="V41" s="128">
        <f>+SUM(V42:V44)</f>
        <v>0</v>
      </c>
      <c r="W41" s="128">
        <f t="shared" ref="W41:X41" si="62">+SUM(W42:W44)</f>
        <v>0</v>
      </c>
      <c r="X41" s="128">
        <f t="shared" si="62"/>
        <v>0</v>
      </c>
      <c r="Y41" s="128">
        <f>+SUM(Y42:Y44)</f>
        <v>563291.06999999995</v>
      </c>
      <c r="Z41" s="128">
        <f>+SUM(Z42:Z44)</f>
        <v>563291.06999999995</v>
      </c>
      <c r="AA41" s="128">
        <f>+SUM(AA42:AA44)</f>
        <v>508945.93000000005</v>
      </c>
      <c r="AB41" s="128">
        <f t="shared" ref="AB41:AF41" si="63">+SUM(AB42:AB44)</f>
        <v>0</v>
      </c>
      <c r="AC41" s="128">
        <f t="shared" si="63"/>
        <v>0</v>
      </c>
      <c r="AD41" s="128">
        <f t="shared" si="63"/>
        <v>0</v>
      </c>
      <c r="AE41" s="128">
        <f t="shared" si="63"/>
        <v>0</v>
      </c>
      <c r="AF41" s="128">
        <f t="shared" si="63"/>
        <v>0</v>
      </c>
      <c r="AG41" s="89">
        <v>1072237</v>
      </c>
      <c r="AH41" s="89">
        <f>+SUM(AH42:AH53)</f>
        <v>0</v>
      </c>
      <c r="AI41" s="89">
        <f>+SUM(AI42:AI44)</f>
        <v>0</v>
      </c>
      <c r="AJ41" s="89">
        <f t="shared" ref="AJ41:AS41" si="64">+SUM(AJ42:AJ44)</f>
        <v>0</v>
      </c>
      <c r="AK41" s="89">
        <f t="shared" si="64"/>
        <v>0</v>
      </c>
      <c r="AL41" s="89">
        <f t="shared" si="64"/>
        <v>739605.55</v>
      </c>
      <c r="AM41" s="89">
        <f t="shared" si="64"/>
        <v>739605.55</v>
      </c>
      <c r="AN41" s="89">
        <f t="shared" ref="AN41" si="65">+SUM(AN42:AN44)</f>
        <v>0</v>
      </c>
      <c r="AO41" s="89">
        <f t="shared" si="64"/>
        <v>332631.45</v>
      </c>
      <c r="AP41" s="128">
        <f t="shared" si="64"/>
        <v>0</v>
      </c>
      <c r="AQ41" s="128">
        <f t="shared" si="64"/>
        <v>0</v>
      </c>
      <c r="AR41" s="128">
        <f t="shared" si="64"/>
        <v>0</v>
      </c>
      <c r="AS41" s="128">
        <f t="shared" si="64"/>
        <v>0</v>
      </c>
      <c r="AT41" s="51"/>
    </row>
    <row r="42" spans="1:46" ht="114" x14ac:dyDescent="0.35">
      <c r="B42" s="130" t="s">
        <v>92</v>
      </c>
      <c r="C42" s="130" t="s">
        <v>359</v>
      </c>
      <c r="D42" s="130"/>
      <c r="E42" s="131"/>
      <c r="F42" s="132">
        <v>352237</v>
      </c>
      <c r="G42" s="132">
        <v>237611</v>
      </c>
      <c r="H42" s="132">
        <f>SUM(I42:N42)</f>
        <v>352237</v>
      </c>
      <c r="I42" s="139">
        <v>0</v>
      </c>
      <c r="J42" s="144"/>
      <c r="K42" s="144"/>
      <c r="L42" s="144"/>
      <c r="M42" s="132"/>
      <c r="N42" s="132">
        <v>352237</v>
      </c>
      <c r="O42" s="132"/>
      <c r="P42" s="132"/>
      <c r="Q42" s="139"/>
      <c r="R42" s="139"/>
      <c r="S42" s="140"/>
      <c r="T42" s="139">
        <v>352237</v>
      </c>
      <c r="U42" s="139">
        <v>0</v>
      </c>
      <c r="V42" s="139">
        <v>0</v>
      </c>
      <c r="W42" s="139"/>
      <c r="X42" s="132"/>
      <c r="Y42" s="139">
        <v>217081.78</v>
      </c>
      <c r="Z42" s="132">
        <f t="shared" ref="Z42:Z44" si="66">SUM(U42:Y42)</f>
        <v>217081.78</v>
      </c>
      <c r="AA42" s="132">
        <f t="shared" ref="AA42:AA44" si="67">SUM(T42-Z42)</f>
        <v>135155.22</v>
      </c>
      <c r="AB42" s="132">
        <f t="shared" ref="AB42:AB43" si="68">SUM(AC42:AE42)</f>
        <v>0</v>
      </c>
      <c r="AC42" s="132"/>
      <c r="AD42" s="139"/>
      <c r="AE42" s="139"/>
      <c r="AF42" s="140"/>
      <c r="AG42" s="91">
        <v>352237</v>
      </c>
      <c r="AH42" s="91">
        <v>0</v>
      </c>
      <c r="AI42" s="91">
        <v>0</v>
      </c>
      <c r="AJ42" s="91"/>
      <c r="AK42" s="90"/>
      <c r="AL42" s="91">
        <v>336734.54</v>
      </c>
      <c r="AM42" s="90">
        <f t="shared" ref="AM42:AN44" si="69">SUM(AH42:AL42)</f>
        <v>336734.54</v>
      </c>
      <c r="AN42" s="90">
        <v>0</v>
      </c>
      <c r="AO42" s="90">
        <f>SUM(AG42-AM42)</f>
        <v>15502.460000000021</v>
      </c>
      <c r="AP42" s="132">
        <f t="shared" ref="AP42:AP43" si="70">SUM(AQ42:AS42)</f>
        <v>0</v>
      </c>
      <c r="AQ42" s="132"/>
      <c r="AR42" s="139"/>
      <c r="AS42" s="139"/>
      <c r="AT42" s="51"/>
    </row>
    <row r="43" spans="1:46" ht="85.5" x14ac:dyDescent="0.35">
      <c r="B43" s="150" t="s">
        <v>95</v>
      </c>
      <c r="C43" s="150" t="s">
        <v>360</v>
      </c>
      <c r="D43" s="150"/>
      <c r="E43" s="131"/>
      <c r="F43" s="132">
        <v>700000</v>
      </c>
      <c r="G43" s="132">
        <v>380569</v>
      </c>
      <c r="H43" s="132">
        <f>SUM(I43:N43)</f>
        <v>700000</v>
      </c>
      <c r="I43" s="139">
        <v>0</v>
      </c>
      <c r="J43" s="144"/>
      <c r="K43" s="144"/>
      <c r="L43" s="144"/>
      <c r="M43" s="132"/>
      <c r="N43" s="132">
        <v>700000</v>
      </c>
      <c r="O43" s="132"/>
      <c r="P43" s="132"/>
      <c r="Q43" s="139"/>
      <c r="R43" s="139"/>
      <c r="S43" s="140"/>
      <c r="T43" s="139">
        <v>700000</v>
      </c>
      <c r="U43" s="139">
        <v>0</v>
      </c>
      <c r="V43" s="139">
        <v>0</v>
      </c>
      <c r="W43" s="139"/>
      <c r="X43" s="132"/>
      <c r="Y43" s="139">
        <v>346209.29</v>
      </c>
      <c r="Z43" s="132">
        <f t="shared" si="66"/>
        <v>346209.29</v>
      </c>
      <c r="AA43" s="132">
        <f t="shared" si="67"/>
        <v>353790.71</v>
      </c>
      <c r="AB43" s="132">
        <f t="shared" si="68"/>
        <v>0</v>
      </c>
      <c r="AC43" s="132"/>
      <c r="AD43" s="139"/>
      <c r="AE43" s="139"/>
      <c r="AF43" s="140"/>
      <c r="AG43" s="91">
        <v>700000</v>
      </c>
      <c r="AH43" s="91">
        <v>0</v>
      </c>
      <c r="AI43" s="91">
        <v>0</v>
      </c>
      <c r="AJ43" s="91"/>
      <c r="AK43" s="90"/>
      <c r="AL43" s="91">
        <v>402871.01</v>
      </c>
      <c r="AM43" s="90">
        <f t="shared" si="69"/>
        <v>402871.01</v>
      </c>
      <c r="AN43" s="90">
        <v>0</v>
      </c>
      <c r="AO43" s="90">
        <f>SUM(AG43-AM43)</f>
        <v>297128.99</v>
      </c>
      <c r="AP43" s="132">
        <f t="shared" si="70"/>
        <v>0</v>
      </c>
      <c r="AQ43" s="132"/>
      <c r="AR43" s="139"/>
      <c r="AS43" s="139"/>
      <c r="AT43" s="51"/>
    </row>
    <row r="44" spans="1:46" ht="114" x14ac:dyDescent="0.35">
      <c r="B44" s="150" t="s">
        <v>97</v>
      </c>
      <c r="C44" s="150" t="s">
        <v>361</v>
      </c>
      <c r="D44" s="150"/>
      <c r="E44" s="131"/>
      <c r="F44" s="132">
        <v>20000</v>
      </c>
      <c r="G44" s="132">
        <v>20000</v>
      </c>
      <c r="H44" s="132">
        <f>SUM(I44:N44)</f>
        <v>20000</v>
      </c>
      <c r="I44" s="139">
        <v>0</v>
      </c>
      <c r="J44" s="139">
        <v>0</v>
      </c>
      <c r="K44" s="139">
        <v>0</v>
      </c>
      <c r="L44" s="132">
        <f t="shared" ref="L44" si="71">SUM(J44*15.9%)</f>
        <v>0</v>
      </c>
      <c r="M44" s="132"/>
      <c r="N44" s="132">
        <v>20000</v>
      </c>
      <c r="O44" s="132">
        <f>SUM(P44:R44)</f>
        <v>0</v>
      </c>
      <c r="P44" s="132"/>
      <c r="Q44" s="139"/>
      <c r="R44" s="139">
        <v>0</v>
      </c>
      <c r="S44" s="140"/>
      <c r="T44" s="139">
        <v>20000</v>
      </c>
      <c r="U44" s="139">
        <v>0</v>
      </c>
      <c r="V44" s="139">
        <v>0</v>
      </c>
      <c r="W44" s="139"/>
      <c r="X44" s="132"/>
      <c r="Y44" s="139">
        <v>0</v>
      </c>
      <c r="Z44" s="132">
        <f t="shared" si="66"/>
        <v>0</v>
      </c>
      <c r="AA44" s="132">
        <f t="shared" si="67"/>
        <v>20000</v>
      </c>
      <c r="AB44" s="132">
        <f>SUM(AC44:AE44)</f>
        <v>0</v>
      </c>
      <c r="AC44" s="132"/>
      <c r="AD44" s="139"/>
      <c r="AE44" s="139"/>
      <c r="AF44" s="140"/>
      <c r="AG44" s="91">
        <v>20000</v>
      </c>
      <c r="AH44" s="91">
        <v>0</v>
      </c>
      <c r="AI44" s="91">
        <v>0</v>
      </c>
      <c r="AJ44" s="91"/>
      <c r="AK44" s="90"/>
      <c r="AL44" s="91">
        <v>0</v>
      </c>
      <c r="AM44" s="90">
        <f t="shared" si="69"/>
        <v>0</v>
      </c>
      <c r="AN44" s="90">
        <f t="shared" si="69"/>
        <v>0</v>
      </c>
      <c r="AO44" s="90">
        <f>SUM(AG44-AM44)</f>
        <v>20000</v>
      </c>
      <c r="AP44" s="132">
        <f>SUM(AQ44:AS44)</f>
        <v>0</v>
      </c>
      <c r="AQ44" s="132"/>
      <c r="AR44" s="139"/>
      <c r="AS44" s="139"/>
      <c r="AT44" s="51"/>
    </row>
    <row r="45" spans="1:46" ht="28.5" x14ac:dyDescent="0.35">
      <c r="B45" s="161"/>
      <c r="C45" s="161"/>
      <c r="D45" s="161"/>
      <c r="E45" s="136"/>
      <c r="F45" s="123"/>
      <c r="G45" s="123"/>
      <c r="H45" s="123"/>
      <c r="I45" s="123"/>
      <c r="J45" s="123"/>
      <c r="K45" s="123"/>
      <c r="L45" s="123"/>
      <c r="M45" s="123"/>
      <c r="N45" s="123"/>
      <c r="O45" s="123"/>
      <c r="P45" s="123"/>
      <c r="Q45" s="123"/>
      <c r="R45" s="123"/>
      <c r="S45" s="137"/>
      <c r="T45" s="123"/>
      <c r="U45" s="123"/>
      <c r="V45" s="123"/>
      <c r="W45" s="123"/>
      <c r="X45" s="123"/>
      <c r="Y45" s="123"/>
      <c r="Z45" s="123"/>
      <c r="AA45" s="123"/>
      <c r="AB45" s="123"/>
      <c r="AC45" s="123"/>
      <c r="AD45" s="123"/>
      <c r="AE45" s="123"/>
      <c r="AF45" s="137"/>
      <c r="AG45" s="87"/>
      <c r="AH45" s="87"/>
      <c r="AI45" s="87"/>
      <c r="AJ45" s="87"/>
      <c r="AK45" s="87"/>
      <c r="AL45" s="87"/>
      <c r="AM45" s="87"/>
      <c r="AN45" s="87"/>
      <c r="AO45" s="87"/>
      <c r="AP45" s="123"/>
      <c r="AQ45" s="123"/>
      <c r="AR45" s="123"/>
      <c r="AS45" s="123"/>
      <c r="AT45" s="51"/>
    </row>
    <row r="46" spans="1:46" s="5" customFormat="1" ht="57" x14ac:dyDescent="0.65">
      <c r="A46" s="5">
        <v>1.7</v>
      </c>
      <c r="B46" s="170" t="s">
        <v>99</v>
      </c>
      <c r="C46" s="198" t="s">
        <v>431</v>
      </c>
      <c r="D46" s="199"/>
      <c r="E46" s="127"/>
      <c r="F46" s="128">
        <f t="shared" ref="F46:S46" si="72">+SUM(F47:F57)</f>
        <v>10485295</v>
      </c>
      <c r="G46" s="128">
        <f t="shared" si="72"/>
        <v>8366422</v>
      </c>
      <c r="H46" s="128">
        <f>+SUM(H47:H57)</f>
        <v>18526417.980999999</v>
      </c>
      <c r="I46" s="128">
        <f t="shared" si="72"/>
        <v>0</v>
      </c>
      <c r="J46" s="128">
        <f t="shared" si="72"/>
        <v>13954459</v>
      </c>
      <c r="K46" s="128">
        <f t="shared" si="72"/>
        <v>2353200</v>
      </c>
      <c r="L46" s="128">
        <f>+SUM(L47:L57)</f>
        <v>2218758.9810000001</v>
      </c>
      <c r="M46" s="128">
        <f t="shared" si="72"/>
        <v>0</v>
      </c>
      <c r="N46" s="128">
        <f t="shared" si="72"/>
        <v>0</v>
      </c>
      <c r="O46" s="128">
        <f t="shared" si="72"/>
        <v>18526417.980999999</v>
      </c>
      <c r="P46" s="128">
        <f t="shared" si="72"/>
        <v>10259250</v>
      </c>
      <c r="Q46" s="128">
        <f t="shared" si="72"/>
        <v>6048409</v>
      </c>
      <c r="R46" s="128">
        <f t="shared" si="72"/>
        <v>2218758.9810000001</v>
      </c>
      <c r="S46" s="128">
        <f t="shared" si="72"/>
        <v>0</v>
      </c>
      <c r="T46" s="128">
        <v>18526417.980999999</v>
      </c>
      <c r="U46" s="128">
        <f t="shared" ref="U46" si="73">+SUM(U47:U57)</f>
        <v>0</v>
      </c>
      <c r="V46" s="128">
        <f>+SUM(V47:V57)</f>
        <v>4518992.2600000007</v>
      </c>
      <c r="W46" s="128">
        <f t="shared" ref="W46:Y46" si="74">+SUM(W47:W57)</f>
        <v>834531.17999999993</v>
      </c>
      <c r="X46" s="128">
        <f t="shared" si="74"/>
        <v>0</v>
      </c>
      <c r="Y46" s="128">
        <f t="shared" si="74"/>
        <v>0</v>
      </c>
      <c r="Z46" s="128">
        <f>+SUM(Z47:Z57)</f>
        <v>5353523.4400000013</v>
      </c>
      <c r="AA46" s="128">
        <f>+SUM(AA47:AA57)</f>
        <v>13172894.541000003</v>
      </c>
      <c r="AB46" s="128">
        <f t="shared" ref="AB46:AF46" si="75">+SUM(AB47:AB57)</f>
        <v>0</v>
      </c>
      <c r="AC46" s="128">
        <f t="shared" si="75"/>
        <v>0</v>
      </c>
      <c r="AD46" s="128">
        <f t="shared" si="75"/>
        <v>0</v>
      </c>
      <c r="AE46" s="128">
        <f t="shared" si="75"/>
        <v>0</v>
      </c>
      <c r="AF46" s="128">
        <f t="shared" si="75"/>
        <v>0</v>
      </c>
      <c r="AG46" s="89">
        <v>18526417.980999999</v>
      </c>
      <c r="AH46" s="89">
        <f t="shared" ref="AH46" si="76">+SUM(AH47:AH57)</f>
        <v>0</v>
      </c>
      <c r="AI46" s="89">
        <f>+SUM(AI47:AI57)</f>
        <v>6149209.2399999993</v>
      </c>
      <c r="AJ46" s="89">
        <f t="shared" ref="AJ46:AS46" si="77">+SUM(AJ47:AJ57)</f>
        <v>1442932.8</v>
      </c>
      <c r="AK46" s="89">
        <f t="shared" si="77"/>
        <v>0</v>
      </c>
      <c r="AL46" s="89">
        <f t="shared" si="77"/>
        <v>0</v>
      </c>
      <c r="AM46" s="89">
        <f t="shared" si="77"/>
        <v>7592142.04</v>
      </c>
      <c r="AN46" s="89">
        <f t="shared" ref="AN46" si="78">+SUM(AN47:AN57)</f>
        <v>0</v>
      </c>
      <c r="AO46" s="89">
        <f t="shared" si="77"/>
        <v>10934275.941</v>
      </c>
      <c r="AP46" s="128">
        <f t="shared" si="77"/>
        <v>0</v>
      </c>
      <c r="AQ46" s="128">
        <f t="shared" si="77"/>
        <v>0</v>
      </c>
      <c r="AR46" s="128">
        <f t="shared" si="77"/>
        <v>0</v>
      </c>
      <c r="AS46" s="128">
        <f t="shared" si="77"/>
        <v>0</v>
      </c>
      <c r="AT46" s="51"/>
    </row>
    <row r="47" spans="1:46" ht="85.5" x14ac:dyDescent="0.35">
      <c r="B47" s="130" t="s">
        <v>100</v>
      </c>
      <c r="C47" s="130" t="s">
        <v>362</v>
      </c>
      <c r="D47" s="130"/>
      <c r="E47" s="131"/>
      <c r="F47" s="132">
        <f>SUM(476390+414704+103300)</f>
        <v>994394</v>
      </c>
      <c r="G47" s="132">
        <f>SUM(177375+454314+70197)</f>
        <v>701886</v>
      </c>
      <c r="H47" s="132">
        <f t="shared" ref="H47:H57" si="79">SUM(I47:N47)</f>
        <v>1169012.601</v>
      </c>
      <c r="I47" s="139">
        <v>0</v>
      </c>
      <c r="J47" s="139">
        <v>1008639</v>
      </c>
      <c r="K47" s="139"/>
      <c r="L47" s="132">
        <f t="shared" ref="L47:L57" si="80">SUM(J47*15.9%)</f>
        <v>160373.601</v>
      </c>
      <c r="M47" s="132"/>
      <c r="N47" s="132"/>
      <c r="O47" s="132">
        <f t="shared" ref="O47:O57" si="81">SUM(P47:R47)</f>
        <v>1169012.601</v>
      </c>
      <c r="P47" s="132">
        <f>SUM(518004+14245)</f>
        <v>532249</v>
      </c>
      <c r="Q47" s="139">
        <v>476390</v>
      </c>
      <c r="R47" s="139">
        <v>160373.601</v>
      </c>
      <c r="S47" s="140"/>
      <c r="T47" s="139">
        <v>1169012.601</v>
      </c>
      <c r="U47" s="139">
        <v>0</v>
      </c>
      <c r="V47" s="139">
        <v>331313.39</v>
      </c>
      <c r="W47" s="139"/>
      <c r="X47" s="132"/>
      <c r="Y47" s="132"/>
      <c r="Z47" s="132">
        <f t="shared" ref="Z47:Z57" si="82">SUM(U47:Y47)</f>
        <v>331313.39</v>
      </c>
      <c r="AA47" s="132">
        <f t="shared" ref="AA47:AA57" si="83">SUM(T47-Z47)</f>
        <v>837699.21100000001</v>
      </c>
      <c r="AB47" s="132">
        <f t="shared" ref="AB47:AB57" si="84">SUM(AC47:AE47)</f>
        <v>0</v>
      </c>
      <c r="AC47" s="132"/>
      <c r="AD47" s="139"/>
      <c r="AE47" s="139"/>
      <c r="AF47" s="140"/>
      <c r="AG47" s="91">
        <v>1169012.601</v>
      </c>
      <c r="AH47" s="91">
        <v>0</v>
      </c>
      <c r="AI47" s="91">
        <v>474877.89</v>
      </c>
      <c r="AJ47" s="91"/>
      <c r="AK47" s="90"/>
      <c r="AL47" s="90"/>
      <c r="AM47" s="90">
        <f t="shared" ref="AM47:AN57" si="85">SUM(AH47:AL47)</f>
        <v>474877.89</v>
      </c>
      <c r="AN47" s="90">
        <v>0</v>
      </c>
      <c r="AO47" s="90">
        <f t="shared" ref="AO47:AO57" si="86">SUM(AG47-AM47)</f>
        <v>694134.71100000001</v>
      </c>
      <c r="AP47" s="132">
        <f t="shared" ref="AP47:AP57" si="87">SUM(AQ47:AS47)</f>
        <v>0</v>
      </c>
      <c r="AQ47" s="132"/>
      <c r="AR47" s="139"/>
      <c r="AS47" s="139"/>
      <c r="AT47" s="51"/>
    </row>
    <row r="48" spans="1:46" ht="142.5" x14ac:dyDescent="0.35">
      <c r="B48" s="130" t="s">
        <v>103</v>
      </c>
      <c r="C48" s="130" t="s">
        <v>363</v>
      </c>
      <c r="D48" s="130"/>
      <c r="E48" s="131"/>
      <c r="F48" s="132">
        <v>30929</v>
      </c>
      <c r="G48" s="132">
        <v>0</v>
      </c>
      <c r="H48" s="132">
        <f t="shared" si="79"/>
        <v>63979.118000000002</v>
      </c>
      <c r="I48" s="139">
        <v>0</v>
      </c>
      <c r="J48" s="139">
        <v>55202</v>
      </c>
      <c r="K48" s="132"/>
      <c r="L48" s="132">
        <f t="shared" si="80"/>
        <v>8777.1180000000004</v>
      </c>
      <c r="M48" s="132"/>
      <c r="N48" s="132"/>
      <c r="O48" s="132">
        <f t="shared" si="81"/>
        <v>63979.118000000002</v>
      </c>
      <c r="P48" s="132">
        <f>SUM(30929+24273)</f>
        <v>55202</v>
      </c>
      <c r="Q48" s="139"/>
      <c r="R48" s="139">
        <v>8777.1180000000004</v>
      </c>
      <c r="S48" s="140"/>
      <c r="T48" s="139">
        <v>63979.118000000002</v>
      </c>
      <c r="U48" s="139">
        <v>0</v>
      </c>
      <c r="V48" s="139">
        <v>27087.599999999999</v>
      </c>
      <c r="W48" s="139"/>
      <c r="X48" s="132"/>
      <c r="Y48" s="132"/>
      <c r="Z48" s="132">
        <f t="shared" si="82"/>
        <v>27087.599999999999</v>
      </c>
      <c r="AA48" s="132">
        <f t="shared" si="83"/>
        <v>36891.518000000004</v>
      </c>
      <c r="AB48" s="132">
        <f t="shared" si="84"/>
        <v>0</v>
      </c>
      <c r="AC48" s="132"/>
      <c r="AD48" s="139"/>
      <c r="AE48" s="139"/>
      <c r="AF48" s="140"/>
      <c r="AG48" s="91">
        <v>63979.118000000002</v>
      </c>
      <c r="AH48" s="91">
        <v>0</v>
      </c>
      <c r="AI48" s="91">
        <v>60545.91</v>
      </c>
      <c r="AJ48" s="91"/>
      <c r="AK48" s="90"/>
      <c r="AL48" s="90"/>
      <c r="AM48" s="90">
        <f t="shared" si="85"/>
        <v>60545.91</v>
      </c>
      <c r="AN48" s="90">
        <v>0</v>
      </c>
      <c r="AO48" s="90">
        <f t="shared" si="86"/>
        <v>3433.2079999999987</v>
      </c>
      <c r="AP48" s="132">
        <f t="shared" si="87"/>
        <v>0</v>
      </c>
      <c r="AQ48" s="132"/>
      <c r="AR48" s="139"/>
      <c r="AS48" s="139"/>
      <c r="AT48" s="51"/>
    </row>
    <row r="49" spans="1:46" ht="85.5" x14ac:dyDescent="0.35">
      <c r="B49" s="130" t="s">
        <v>105</v>
      </c>
      <c r="C49" s="130" t="s">
        <v>364</v>
      </c>
      <c r="D49" s="130"/>
      <c r="E49" s="131"/>
      <c r="F49" s="132">
        <v>58500</v>
      </c>
      <c r="G49" s="132">
        <v>0</v>
      </c>
      <c r="H49" s="132">
        <f t="shared" si="79"/>
        <v>67801.5</v>
      </c>
      <c r="I49" s="139">
        <v>0</v>
      </c>
      <c r="J49" s="139">
        <v>58500</v>
      </c>
      <c r="K49" s="132"/>
      <c r="L49" s="132">
        <f t="shared" si="80"/>
        <v>9301.5</v>
      </c>
      <c r="M49" s="132"/>
      <c r="N49" s="132"/>
      <c r="O49" s="132">
        <f t="shared" si="81"/>
        <v>67801.5</v>
      </c>
      <c r="P49" s="132"/>
      <c r="Q49" s="139">
        <v>58500</v>
      </c>
      <c r="R49" s="139">
        <v>9301.5</v>
      </c>
      <c r="S49" s="140"/>
      <c r="T49" s="139">
        <v>67801.5</v>
      </c>
      <c r="U49" s="139">
        <v>0</v>
      </c>
      <c r="V49" s="139">
        <v>0</v>
      </c>
      <c r="W49" s="139"/>
      <c r="X49" s="132"/>
      <c r="Y49" s="132"/>
      <c r="Z49" s="132">
        <f t="shared" si="82"/>
        <v>0</v>
      </c>
      <c r="AA49" s="132">
        <f t="shared" si="83"/>
        <v>67801.5</v>
      </c>
      <c r="AB49" s="132">
        <f t="shared" si="84"/>
        <v>0</v>
      </c>
      <c r="AC49" s="132"/>
      <c r="AD49" s="139"/>
      <c r="AE49" s="139"/>
      <c r="AF49" s="140"/>
      <c r="AG49" s="91">
        <v>67801.5</v>
      </c>
      <c r="AH49" s="91">
        <v>0</v>
      </c>
      <c r="AI49" s="91">
        <v>0</v>
      </c>
      <c r="AJ49" s="91"/>
      <c r="AK49" s="90"/>
      <c r="AL49" s="90"/>
      <c r="AM49" s="90">
        <f t="shared" si="85"/>
        <v>0</v>
      </c>
      <c r="AN49" s="90">
        <f t="shared" si="85"/>
        <v>0</v>
      </c>
      <c r="AO49" s="90">
        <f t="shared" si="86"/>
        <v>67801.5</v>
      </c>
      <c r="AP49" s="132">
        <f t="shared" si="87"/>
        <v>0</v>
      </c>
      <c r="AQ49" s="132"/>
      <c r="AR49" s="139"/>
      <c r="AS49" s="139"/>
      <c r="AT49" s="51"/>
    </row>
    <row r="50" spans="1:46" ht="114" x14ac:dyDescent="0.35">
      <c r="B50" s="130" t="s">
        <v>107</v>
      </c>
      <c r="C50" s="130" t="s">
        <v>365</v>
      </c>
      <c r="D50" s="130"/>
      <c r="E50" s="131"/>
      <c r="F50" s="132">
        <v>180800</v>
      </c>
      <c r="G50" s="132">
        <v>90269</v>
      </c>
      <c r="H50" s="132">
        <f t="shared" si="79"/>
        <v>215309.74799999999</v>
      </c>
      <c r="I50" s="139">
        <v>0</v>
      </c>
      <c r="J50" s="139">
        <v>185772</v>
      </c>
      <c r="K50" s="132"/>
      <c r="L50" s="132">
        <f t="shared" si="80"/>
        <v>29537.748</v>
      </c>
      <c r="M50" s="132"/>
      <c r="N50" s="132"/>
      <c r="O50" s="132">
        <f t="shared" si="81"/>
        <v>215309.74799999999</v>
      </c>
      <c r="P50" s="132">
        <f>SUM(180800+4972)</f>
        <v>185772</v>
      </c>
      <c r="Q50" s="139"/>
      <c r="R50" s="139">
        <v>29537.748</v>
      </c>
      <c r="S50" s="140"/>
      <c r="T50" s="139">
        <v>215309.74799999999</v>
      </c>
      <c r="U50" s="139"/>
      <c r="V50" s="132">
        <v>100666.36</v>
      </c>
      <c r="W50" s="139"/>
      <c r="X50" s="132"/>
      <c r="Y50" s="132"/>
      <c r="Z50" s="132">
        <f t="shared" si="82"/>
        <v>100666.36</v>
      </c>
      <c r="AA50" s="132">
        <f t="shared" si="83"/>
        <v>114643.38799999999</v>
      </c>
      <c r="AB50" s="132">
        <f t="shared" si="84"/>
        <v>0</v>
      </c>
      <c r="AC50" s="132"/>
      <c r="AD50" s="139"/>
      <c r="AE50" s="139"/>
      <c r="AF50" s="140"/>
      <c r="AG50" s="91">
        <v>215309.74799999999</v>
      </c>
      <c r="AH50" s="91"/>
      <c r="AI50" s="90">
        <v>50071.65</v>
      </c>
      <c r="AJ50" s="91"/>
      <c r="AK50" s="90"/>
      <c r="AL50" s="90"/>
      <c r="AM50" s="90">
        <f t="shared" si="85"/>
        <v>50071.65</v>
      </c>
      <c r="AN50" s="90">
        <v>0</v>
      </c>
      <c r="AO50" s="90">
        <f t="shared" si="86"/>
        <v>165238.098</v>
      </c>
      <c r="AP50" s="132">
        <f t="shared" si="87"/>
        <v>0</v>
      </c>
      <c r="AQ50" s="132"/>
      <c r="AR50" s="139"/>
      <c r="AS50" s="139"/>
      <c r="AT50" s="51"/>
    </row>
    <row r="51" spans="1:46" s="2" customFormat="1" ht="409.5" x14ac:dyDescent="0.35">
      <c r="B51" s="130" t="s">
        <v>109</v>
      </c>
      <c r="C51" s="130" t="s">
        <v>366</v>
      </c>
      <c r="D51" s="130"/>
      <c r="E51" s="131"/>
      <c r="F51" s="132">
        <v>5960589</v>
      </c>
      <c r="G51" s="132">
        <v>6471706</v>
      </c>
      <c r="H51" s="132">
        <f t="shared" si="79"/>
        <v>10544685.151000001</v>
      </c>
      <c r="I51" s="139">
        <v>0</v>
      </c>
      <c r="J51" s="139">
        <v>9098089</v>
      </c>
      <c r="K51" s="139"/>
      <c r="L51" s="132">
        <f t="shared" si="80"/>
        <v>1446596.1510000001</v>
      </c>
      <c r="M51" s="132"/>
      <c r="N51" s="132"/>
      <c r="O51" s="132">
        <f t="shared" si="81"/>
        <v>10544685.151000001</v>
      </c>
      <c r="P51" s="132">
        <f>SUM(5000000+137500)</f>
        <v>5137500</v>
      </c>
      <c r="Q51" s="139">
        <v>3960589</v>
      </c>
      <c r="R51" s="139">
        <v>1446596.1510000001</v>
      </c>
      <c r="S51" s="140"/>
      <c r="T51" s="139">
        <v>10544685.151000001</v>
      </c>
      <c r="U51" s="139"/>
      <c r="V51" s="139">
        <v>2602620.6800000002</v>
      </c>
      <c r="W51" s="139"/>
      <c r="X51" s="132"/>
      <c r="Y51" s="132"/>
      <c r="Z51" s="132">
        <f t="shared" si="82"/>
        <v>2602620.6800000002</v>
      </c>
      <c r="AA51" s="132">
        <f t="shared" si="83"/>
        <v>7942064.4710000008</v>
      </c>
      <c r="AB51" s="132">
        <f t="shared" si="84"/>
        <v>0</v>
      </c>
      <c r="AC51" s="132"/>
      <c r="AD51" s="139"/>
      <c r="AE51" s="139"/>
      <c r="AF51" s="140"/>
      <c r="AG51" s="91">
        <v>10544685.151000001</v>
      </c>
      <c r="AH51" s="91"/>
      <c r="AI51" s="91">
        <v>4066364.82</v>
      </c>
      <c r="AJ51" s="91"/>
      <c r="AK51" s="90"/>
      <c r="AL51" s="90"/>
      <c r="AM51" s="90">
        <f t="shared" si="85"/>
        <v>4066364.82</v>
      </c>
      <c r="AN51" s="90">
        <v>0</v>
      </c>
      <c r="AO51" s="90">
        <f t="shared" si="86"/>
        <v>6478320.3310000002</v>
      </c>
      <c r="AP51" s="132">
        <f t="shared" si="87"/>
        <v>0</v>
      </c>
      <c r="AQ51" s="132"/>
      <c r="AR51" s="139"/>
      <c r="AS51" s="139"/>
      <c r="AT51" s="51"/>
    </row>
    <row r="52" spans="1:46" s="2" customFormat="1" ht="409.5" x14ac:dyDescent="0.35">
      <c r="B52" s="151" t="s">
        <v>111</v>
      </c>
      <c r="C52" s="151" t="s">
        <v>367</v>
      </c>
      <c r="D52" s="151"/>
      <c r="E52" s="152"/>
      <c r="F52" s="153">
        <v>3045699</v>
      </c>
      <c r="G52" s="153">
        <v>911758</v>
      </c>
      <c r="H52" s="132">
        <f t="shared" si="79"/>
        <v>3271902.2009999999</v>
      </c>
      <c r="I52" s="132">
        <v>0</v>
      </c>
      <c r="J52" s="132">
        <v>2823039</v>
      </c>
      <c r="K52" s="132"/>
      <c r="L52" s="132">
        <f t="shared" si="80"/>
        <v>448863.201</v>
      </c>
      <c r="M52" s="153"/>
      <c r="N52" s="153"/>
      <c r="O52" s="132">
        <f t="shared" si="81"/>
        <v>3271902.2009999999</v>
      </c>
      <c r="P52" s="153">
        <f>SUM(1729771+47569)</f>
        <v>1777340</v>
      </c>
      <c r="Q52" s="132">
        <v>1045699</v>
      </c>
      <c r="R52" s="132">
        <v>448863.201</v>
      </c>
      <c r="S52" s="134"/>
      <c r="T52" s="132">
        <v>3271902.2009999999</v>
      </c>
      <c r="U52" s="132"/>
      <c r="V52" s="132">
        <v>885458.06</v>
      </c>
      <c r="W52" s="132"/>
      <c r="X52" s="153"/>
      <c r="Y52" s="153"/>
      <c r="Z52" s="132">
        <f t="shared" si="82"/>
        <v>885458.06</v>
      </c>
      <c r="AA52" s="132">
        <f t="shared" si="83"/>
        <v>2386444.1409999998</v>
      </c>
      <c r="AB52" s="132">
        <f t="shared" si="84"/>
        <v>0</v>
      </c>
      <c r="AC52" s="153"/>
      <c r="AD52" s="132"/>
      <c r="AE52" s="132"/>
      <c r="AF52" s="134"/>
      <c r="AG52" s="90">
        <v>3271902.2009999999</v>
      </c>
      <c r="AH52" s="90"/>
      <c r="AI52" s="90">
        <v>883942.72</v>
      </c>
      <c r="AJ52" s="90"/>
      <c r="AK52" s="93"/>
      <c r="AL52" s="93"/>
      <c r="AM52" s="90">
        <f t="shared" si="85"/>
        <v>883942.72</v>
      </c>
      <c r="AN52" s="90">
        <v>0</v>
      </c>
      <c r="AO52" s="90">
        <f t="shared" si="86"/>
        <v>2387959.4809999997</v>
      </c>
      <c r="AP52" s="132">
        <f t="shared" si="87"/>
        <v>0</v>
      </c>
      <c r="AQ52" s="153"/>
      <c r="AR52" s="132"/>
      <c r="AS52" s="132"/>
      <c r="AT52" s="51"/>
    </row>
    <row r="53" spans="1:46" ht="85.5" x14ac:dyDescent="0.35">
      <c r="B53" s="150" t="s">
        <v>112</v>
      </c>
      <c r="C53" s="150" t="s">
        <v>368</v>
      </c>
      <c r="D53" s="150"/>
      <c r="E53" s="131"/>
      <c r="F53" s="132">
        <v>214384</v>
      </c>
      <c r="G53" s="132">
        <v>190803</v>
      </c>
      <c r="H53" s="132">
        <f t="shared" si="79"/>
        <v>255232.66200000001</v>
      </c>
      <c r="I53" s="139">
        <v>0</v>
      </c>
      <c r="J53" s="139">
        <v>220218</v>
      </c>
      <c r="K53" s="139"/>
      <c r="L53" s="132">
        <f t="shared" si="80"/>
        <v>35014.662000000004</v>
      </c>
      <c r="M53" s="132"/>
      <c r="N53" s="132"/>
      <c r="O53" s="132">
        <f t="shared" si="81"/>
        <v>255232.66200000001</v>
      </c>
      <c r="P53" s="132">
        <f>SUM(212153+5834)</f>
        <v>217987</v>
      </c>
      <c r="Q53" s="139">
        <v>2231</v>
      </c>
      <c r="R53" s="139">
        <v>35014.662000000004</v>
      </c>
      <c r="S53" s="140"/>
      <c r="T53" s="139">
        <v>255232.66200000001</v>
      </c>
      <c r="U53" s="139"/>
      <c r="V53" s="139">
        <v>87304.18</v>
      </c>
      <c r="W53" s="139"/>
      <c r="X53" s="132"/>
      <c r="Y53" s="132"/>
      <c r="Z53" s="132">
        <f t="shared" si="82"/>
        <v>87304.18</v>
      </c>
      <c r="AA53" s="132">
        <f t="shared" si="83"/>
        <v>167928.48200000002</v>
      </c>
      <c r="AB53" s="132">
        <f t="shared" si="84"/>
        <v>0</v>
      </c>
      <c r="AC53" s="132"/>
      <c r="AD53" s="139"/>
      <c r="AE53" s="139"/>
      <c r="AF53" s="140"/>
      <c r="AG53" s="91">
        <v>255232.66200000001</v>
      </c>
      <c r="AH53" s="91"/>
      <c r="AI53" s="91">
        <v>128864.26</v>
      </c>
      <c r="AJ53" s="91"/>
      <c r="AK53" s="90"/>
      <c r="AL53" s="90"/>
      <c r="AM53" s="90">
        <f t="shared" si="85"/>
        <v>128864.26</v>
      </c>
      <c r="AN53" s="90">
        <v>0</v>
      </c>
      <c r="AO53" s="90">
        <f t="shared" si="86"/>
        <v>126368.40200000002</v>
      </c>
      <c r="AP53" s="132">
        <f t="shared" si="87"/>
        <v>0</v>
      </c>
      <c r="AQ53" s="132"/>
      <c r="AR53" s="139"/>
      <c r="AS53" s="139"/>
      <c r="AT53" s="48"/>
    </row>
    <row r="54" spans="1:46" ht="228" x14ac:dyDescent="0.65">
      <c r="B54" s="138" t="s">
        <v>114</v>
      </c>
      <c r="C54" s="138" t="s">
        <v>369</v>
      </c>
      <c r="D54" s="138"/>
      <c r="E54" s="131"/>
      <c r="F54" s="132"/>
      <c r="G54" s="132"/>
      <c r="H54" s="132">
        <f t="shared" si="79"/>
        <v>1580640</v>
      </c>
      <c r="I54" s="139">
        <v>0</v>
      </c>
      <c r="J54" s="139">
        <v>0</v>
      </c>
      <c r="K54" s="139">
        <v>1580640</v>
      </c>
      <c r="L54" s="132">
        <f t="shared" si="80"/>
        <v>0</v>
      </c>
      <c r="M54" s="147"/>
      <c r="N54" s="147"/>
      <c r="O54" s="132">
        <f t="shared" si="81"/>
        <v>1580640</v>
      </c>
      <c r="P54" s="147">
        <v>1580640</v>
      </c>
      <c r="Q54" s="139"/>
      <c r="R54" s="139">
        <v>0</v>
      </c>
      <c r="S54" s="140"/>
      <c r="T54" s="139">
        <v>1580640</v>
      </c>
      <c r="U54" s="139"/>
      <c r="V54" s="139">
        <v>0</v>
      </c>
      <c r="W54" s="139">
        <v>806705.45</v>
      </c>
      <c r="X54" s="147"/>
      <c r="Y54" s="147"/>
      <c r="Z54" s="132">
        <f t="shared" si="82"/>
        <v>806705.45</v>
      </c>
      <c r="AA54" s="132">
        <f t="shared" si="83"/>
        <v>773934.55</v>
      </c>
      <c r="AB54" s="132">
        <f t="shared" si="84"/>
        <v>0</v>
      </c>
      <c r="AC54" s="147"/>
      <c r="AD54" s="139"/>
      <c r="AE54" s="139"/>
      <c r="AF54" s="140"/>
      <c r="AG54" s="91">
        <v>1580640</v>
      </c>
      <c r="AH54" s="91"/>
      <c r="AI54" s="91">
        <v>0</v>
      </c>
      <c r="AJ54" s="91">
        <v>1328324.83</v>
      </c>
      <c r="AK54" s="92"/>
      <c r="AL54" s="92"/>
      <c r="AM54" s="90">
        <f t="shared" si="85"/>
        <v>1328324.83</v>
      </c>
      <c r="AN54" s="90">
        <v>0</v>
      </c>
      <c r="AO54" s="90">
        <f t="shared" si="86"/>
        <v>252315.16999999993</v>
      </c>
      <c r="AP54" s="132">
        <f t="shared" si="87"/>
        <v>0</v>
      </c>
      <c r="AQ54" s="147"/>
      <c r="AR54" s="139"/>
      <c r="AS54" s="139"/>
      <c r="AT54" s="48"/>
    </row>
    <row r="55" spans="1:46" ht="285" x14ac:dyDescent="0.65">
      <c r="B55" s="138" t="s">
        <v>115</v>
      </c>
      <c r="C55" s="138" t="s">
        <v>370</v>
      </c>
      <c r="D55" s="138"/>
      <c r="E55" s="131"/>
      <c r="F55" s="132"/>
      <c r="G55" s="132"/>
      <c r="H55" s="132">
        <f t="shared" si="79"/>
        <v>682560</v>
      </c>
      <c r="I55" s="139">
        <v>0</v>
      </c>
      <c r="J55" s="139">
        <v>0</v>
      </c>
      <c r="K55" s="139">
        <v>682560</v>
      </c>
      <c r="L55" s="132">
        <f t="shared" si="80"/>
        <v>0</v>
      </c>
      <c r="M55" s="132"/>
      <c r="N55" s="132"/>
      <c r="O55" s="132">
        <f t="shared" si="81"/>
        <v>682560</v>
      </c>
      <c r="P55" s="132">
        <v>682560</v>
      </c>
      <c r="Q55" s="139"/>
      <c r="R55" s="139">
        <v>0</v>
      </c>
      <c r="S55" s="140"/>
      <c r="T55" s="139">
        <v>682560</v>
      </c>
      <c r="U55" s="139"/>
      <c r="V55" s="139">
        <v>0</v>
      </c>
      <c r="W55" s="139">
        <v>27825.73</v>
      </c>
      <c r="X55" s="132"/>
      <c r="Y55" s="132"/>
      <c r="Z55" s="132">
        <f t="shared" si="82"/>
        <v>27825.73</v>
      </c>
      <c r="AA55" s="132">
        <f t="shared" si="83"/>
        <v>654734.27</v>
      </c>
      <c r="AB55" s="132">
        <f t="shared" si="84"/>
        <v>0</v>
      </c>
      <c r="AC55" s="132"/>
      <c r="AD55" s="139"/>
      <c r="AE55" s="139"/>
      <c r="AF55" s="140"/>
      <c r="AG55" s="91">
        <v>682560</v>
      </c>
      <c r="AH55" s="91"/>
      <c r="AI55" s="91">
        <v>0</v>
      </c>
      <c r="AJ55" s="91">
        <v>64183.15</v>
      </c>
      <c r="AK55" s="90"/>
      <c r="AL55" s="90"/>
      <c r="AM55" s="90">
        <f t="shared" si="85"/>
        <v>64183.15</v>
      </c>
      <c r="AN55" s="90">
        <v>0</v>
      </c>
      <c r="AO55" s="90">
        <f t="shared" si="86"/>
        <v>618376.85</v>
      </c>
      <c r="AP55" s="132">
        <f t="shared" si="87"/>
        <v>0</v>
      </c>
      <c r="AQ55" s="132"/>
      <c r="AR55" s="139"/>
      <c r="AS55" s="139"/>
      <c r="AT55" s="48"/>
    </row>
    <row r="56" spans="1:46" ht="28.5" x14ac:dyDescent="0.35">
      <c r="B56" s="130" t="s">
        <v>116</v>
      </c>
      <c r="C56" s="130"/>
      <c r="D56" s="130"/>
      <c r="E56" s="131"/>
      <c r="F56" s="132"/>
      <c r="G56" s="132"/>
      <c r="H56" s="132">
        <f t="shared" si="79"/>
        <v>585295</v>
      </c>
      <c r="I56" s="132"/>
      <c r="J56" s="132">
        <v>505000</v>
      </c>
      <c r="K56" s="132"/>
      <c r="L56" s="132">
        <f t="shared" si="80"/>
        <v>80295</v>
      </c>
      <c r="M56" s="132"/>
      <c r="N56" s="132"/>
      <c r="O56" s="132">
        <f t="shared" si="81"/>
        <v>585295</v>
      </c>
      <c r="P56" s="132"/>
      <c r="Q56" s="132">
        <v>505000</v>
      </c>
      <c r="R56" s="132">
        <v>80295</v>
      </c>
      <c r="S56" s="134"/>
      <c r="T56" s="132">
        <v>585295</v>
      </c>
      <c r="U56" s="132">
        <v>0</v>
      </c>
      <c r="V56" s="132">
        <v>484541.99</v>
      </c>
      <c r="W56" s="132"/>
      <c r="X56" s="132"/>
      <c r="Y56" s="132"/>
      <c r="Z56" s="132">
        <f t="shared" si="82"/>
        <v>484541.99</v>
      </c>
      <c r="AA56" s="132">
        <f t="shared" si="83"/>
        <v>100753.01000000001</v>
      </c>
      <c r="AB56" s="132">
        <f t="shared" si="84"/>
        <v>0</v>
      </c>
      <c r="AC56" s="132"/>
      <c r="AD56" s="132"/>
      <c r="AE56" s="132"/>
      <c r="AF56" s="134"/>
      <c r="AG56" s="90">
        <v>585295</v>
      </c>
      <c r="AH56" s="90">
        <v>0</v>
      </c>
      <c r="AI56" s="90">
        <v>484541.99</v>
      </c>
      <c r="AJ56" s="90"/>
      <c r="AK56" s="90"/>
      <c r="AL56" s="90"/>
      <c r="AM56" s="90">
        <f t="shared" si="85"/>
        <v>484541.99</v>
      </c>
      <c r="AN56" s="90">
        <v>0</v>
      </c>
      <c r="AO56" s="90">
        <f t="shared" si="86"/>
        <v>100753.01000000001</v>
      </c>
      <c r="AP56" s="132">
        <f t="shared" si="87"/>
        <v>0</v>
      </c>
      <c r="AQ56" s="132"/>
      <c r="AR56" s="132"/>
      <c r="AS56" s="132"/>
      <c r="AT56" s="47"/>
    </row>
    <row r="57" spans="1:46" ht="285" x14ac:dyDescent="0.35">
      <c r="B57" s="130" t="s">
        <v>117</v>
      </c>
      <c r="C57" s="130" t="s">
        <v>371</v>
      </c>
      <c r="D57" s="130"/>
      <c r="E57" s="131"/>
      <c r="F57" s="132"/>
      <c r="G57" s="132"/>
      <c r="H57" s="132">
        <f t="shared" si="79"/>
        <v>90000</v>
      </c>
      <c r="I57" s="132"/>
      <c r="J57" s="132">
        <v>0</v>
      </c>
      <c r="K57" s="132">
        <v>90000</v>
      </c>
      <c r="L57" s="132">
        <f t="shared" si="80"/>
        <v>0</v>
      </c>
      <c r="M57" s="132"/>
      <c r="N57" s="132"/>
      <c r="O57" s="132">
        <f t="shared" si="81"/>
        <v>90000</v>
      </c>
      <c r="P57" s="132">
        <v>90000</v>
      </c>
      <c r="Q57" s="132"/>
      <c r="R57" s="132">
        <v>0</v>
      </c>
      <c r="S57" s="134"/>
      <c r="T57" s="132">
        <v>90000</v>
      </c>
      <c r="U57" s="132"/>
      <c r="V57" s="132">
        <v>0</v>
      </c>
      <c r="W57" s="132"/>
      <c r="X57" s="132"/>
      <c r="Y57" s="132"/>
      <c r="Z57" s="132">
        <f t="shared" si="82"/>
        <v>0</v>
      </c>
      <c r="AA57" s="132">
        <f t="shared" si="83"/>
        <v>90000</v>
      </c>
      <c r="AB57" s="132">
        <f t="shared" si="84"/>
        <v>0</v>
      </c>
      <c r="AC57" s="132"/>
      <c r="AD57" s="132"/>
      <c r="AE57" s="132"/>
      <c r="AF57" s="134"/>
      <c r="AG57" s="90">
        <v>90000</v>
      </c>
      <c r="AH57" s="90"/>
      <c r="AI57" s="90"/>
      <c r="AJ57" s="90">
        <v>50424.82</v>
      </c>
      <c r="AK57" s="90"/>
      <c r="AL57" s="90"/>
      <c r="AM57" s="90">
        <f t="shared" si="85"/>
        <v>50424.82</v>
      </c>
      <c r="AN57" s="90">
        <v>0</v>
      </c>
      <c r="AO57" s="90">
        <f t="shared" si="86"/>
        <v>39575.18</v>
      </c>
      <c r="AP57" s="132">
        <f t="shared" si="87"/>
        <v>0</v>
      </c>
      <c r="AQ57" s="132"/>
      <c r="AR57" s="132"/>
      <c r="AS57" s="132"/>
      <c r="AT57" s="47"/>
    </row>
    <row r="58" spans="1:46" ht="28.5" x14ac:dyDescent="0.35">
      <c r="B58" s="161"/>
      <c r="C58" s="161"/>
      <c r="D58" s="161"/>
      <c r="E58" s="136"/>
      <c r="F58" s="125"/>
      <c r="G58" s="125"/>
      <c r="H58" s="125"/>
      <c r="I58" s="125"/>
      <c r="J58" s="125"/>
      <c r="K58" s="125"/>
      <c r="L58" s="125"/>
      <c r="M58" s="125"/>
      <c r="N58" s="125"/>
      <c r="O58" s="125"/>
      <c r="P58" s="125" t="s">
        <v>118</v>
      </c>
      <c r="Q58" s="125"/>
      <c r="R58" s="125"/>
      <c r="S58" s="126"/>
      <c r="T58" s="125"/>
      <c r="U58" s="125"/>
      <c r="V58" s="125"/>
      <c r="W58" s="125"/>
      <c r="X58" s="125"/>
      <c r="Y58" s="125"/>
      <c r="Z58" s="125"/>
      <c r="AA58" s="125"/>
      <c r="AB58" s="125"/>
      <c r="AC58" s="125" t="s">
        <v>118</v>
      </c>
      <c r="AD58" s="125"/>
      <c r="AE58" s="125"/>
      <c r="AF58" s="126"/>
      <c r="AG58" s="88"/>
      <c r="AH58" s="88"/>
      <c r="AI58" s="88"/>
      <c r="AJ58" s="88"/>
      <c r="AK58" s="88"/>
      <c r="AL58" s="88"/>
      <c r="AM58" s="88"/>
      <c r="AN58" s="88"/>
      <c r="AO58" s="88"/>
      <c r="AP58" s="125"/>
      <c r="AQ58" s="125" t="s">
        <v>118</v>
      </c>
      <c r="AR58" s="125"/>
      <c r="AS58" s="125"/>
      <c r="AT58" s="45"/>
    </row>
    <row r="59" spans="1:46" s="5" customFormat="1" ht="57" x14ac:dyDescent="0.65">
      <c r="A59" s="5">
        <v>1.8</v>
      </c>
      <c r="B59" s="170" t="s">
        <v>119</v>
      </c>
      <c r="C59" s="198" t="s">
        <v>432</v>
      </c>
      <c r="D59" s="199"/>
      <c r="E59" s="127"/>
      <c r="F59" s="128">
        <f t="shared" ref="F59:R59" si="88">+SUM(F60:F62)</f>
        <v>2223106</v>
      </c>
      <c r="G59" s="128">
        <f t="shared" si="88"/>
        <v>1950721</v>
      </c>
      <c r="H59" s="128">
        <f>+SUM(H60:H62)</f>
        <v>3769098.8289999999</v>
      </c>
      <c r="I59" s="128">
        <f t="shared" si="88"/>
        <v>0</v>
      </c>
      <c r="J59" s="128">
        <f t="shared" si="88"/>
        <v>3184131</v>
      </c>
      <c r="K59" s="128">
        <f t="shared" si="88"/>
        <v>0</v>
      </c>
      <c r="L59" s="128">
        <f>+SUM(L60:L62)</f>
        <v>584967.82900000003</v>
      </c>
      <c r="M59" s="128">
        <f t="shared" si="88"/>
        <v>0</v>
      </c>
      <c r="N59" s="128">
        <f t="shared" si="88"/>
        <v>0</v>
      </c>
      <c r="O59" s="128">
        <f>+SUM(O60:O62)</f>
        <v>3769098.8289999999</v>
      </c>
      <c r="P59" s="128">
        <f>+SUM(P60:P62)</f>
        <v>2280131</v>
      </c>
      <c r="Q59" s="128">
        <f t="shared" ref="Q59" si="89">+SUM(Q60:Q62)</f>
        <v>904000</v>
      </c>
      <c r="R59" s="128">
        <f t="shared" si="88"/>
        <v>584967.82900000003</v>
      </c>
      <c r="S59" s="141"/>
      <c r="T59" s="128">
        <v>3769098.8289999999</v>
      </c>
      <c r="U59" s="128">
        <f t="shared" ref="U59:Y59" si="90">+SUM(U60:U62)</f>
        <v>0</v>
      </c>
      <c r="V59" s="128">
        <f>+SUM(V60:V62)</f>
        <v>108651.01</v>
      </c>
      <c r="W59" s="128">
        <f t="shared" si="90"/>
        <v>12400</v>
      </c>
      <c r="X59" s="128">
        <f t="shared" si="90"/>
        <v>0</v>
      </c>
      <c r="Y59" s="128">
        <f t="shared" si="90"/>
        <v>0</v>
      </c>
      <c r="Z59" s="128">
        <f>+SUM(Z60:Z62)</f>
        <v>119051.01</v>
      </c>
      <c r="AA59" s="128">
        <f>+SUM(AA60:AA62)</f>
        <v>3650047.8190000001</v>
      </c>
      <c r="AB59" s="128">
        <f>+SUM(AB60:AB62)</f>
        <v>0</v>
      </c>
      <c r="AC59" s="128">
        <f>+SUM(AC60:AC62)</f>
        <v>0</v>
      </c>
      <c r="AD59" s="128">
        <f t="shared" ref="AD59:AE59" si="91">+SUM(AD60:AD62)</f>
        <v>0</v>
      </c>
      <c r="AE59" s="128">
        <f t="shared" si="91"/>
        <v>0</v>
      </c>
      <c r="AF59" s="141"/>
      <c r="AG59" s="89">
        <v>3769098.8289999999</v>
      </c>
      <c r="AH59" s="89">
        <f t="shared" ref="AH59:AS59" si="92">+SUM(AH60:AH62)</f>
        <v>0</v>
      </c>
      <c r="AI59" s="89">
        <f t="shared" si="92"/>
        <v>244660.28</v>
      </c>
      <c r="AJ59" s="89">
        <f t="shared" si="92"/>
        <v>0</v>
      </c>
      <c r="AK59" s="89">
        <f t="shared" si="92"/>
        <v>0</v>
      </c>
      <c r="AL59" s="89">
        <f t="shared" si="92"/>
        <v>0</v>
      </c>
      <c r="AM59" s="89">
        <f t="shared" si="92"/>
        <v>244660.28</v>
      </c>
      <c r="AN59" s="89">
        <f t="shared" ref="AN59" si="93">+SUM(AN60:AN62)</f>
        <v>0</v>
      </c>
      <c r="AO59" s="89">
        <f t="shared" si="92"/>
        <v>3524438.5490000001</v>
      </c>
      <c r="AP59" s="128">
        <f t="shared" si="92"/>
        <v>0</v>
      </c>
      <c r="AQ59" s="128">
        <f t="shared" si="92"/>
        <v>0</v>
      </c>
      <c r="AR59" s="128">
        <f t="shared" si="92"/>
        <v>0</v>
      </c>
      <c r="AS59" s="128">
        <f t="shared" si="92"/>
        <v>0</v>
      </c>
      <c r="AT59" s="46"/>
    </row>
    <row r="60" spans="1:46" s="2" customFormat="1" ht="114" x14ac:dyDescent="0.35">
      <c r="B60" s="130" t="s">
        <v>120</v>
      </c>
      <c r="C60" s="130" t="s">
        <v>372</v>
      </c>
      <c r="D60" s="130"/>
      <c r="E60" s="131"/>
      <c r="F60" s="154">
        <v>2000000</v>
      </c>
      <c r="G60" s="154">
        <v>1702022</v>
      </c>
      <c r="H60" s="132">
        <f>SUM(I60:N60)</f>
        <v>2381745</v>
      </c>
      <c r="I60" s="154"/>
      <c r="J60" s="154">
        <v>2055000</v>
      </c>
      <c r="K60" s="132"/>
      <c r="L60" s="132">
        <f t="shared" ref="L60:L61" si="94">SUM(J60*15.9%)</f>
        <v>326745</v>
      </c>
      <c r="M60" s="154"/>
      <c r="N60" s="154"/>
      <c r="O60" s="132">
        <f>SUM(P60:R60)</f>
        <v>2381745</v>
      </c>
      <c r="P60" s="154">
        <f>SUM(2000000+55000)</f>
        <v>2055000</v>
      </c>
      <c r="Q60" s="154"/>
      <c r="R60" s="154">
        <v>326745</v>
      </c>
      <c r="S60" s="155"/>
      <c r="T60" s="154">
        <v>2381745</v>
      </c>
      <c r="U60" s="154"/>
      <c r="V60" s="154">
        <v>4488.6099999999997</v>
      </c>
      <c r="W60" s="154"/>
      <c r="X60" s="154"/>
      <c r="Y60" s="154"/>
      <c r="Z60" s="132">
        <v>2488.61</v>
      </c>
      <c r="AA60" s="132">
        <f t="shared" ref="AA60:AA62" si="95">SUM(T60-Z60)</f>
        <v>2379256.39</v>
      </c>
      <c r="AB60" s="132">
        <f>SUM(AC60:AE60)</f>
        <v>0</v>
      </c>
      <c r="AC60" s="154"/>
      <c r="AD60" s="154"/>
      <c r="AE60" s="154"/>
      <c r="AF60" s="155"/>
      <c r="AG60" s="94">
        <v>2381745</v>
      </c>
      <c r="AH60" s="94"/>
      <c r="AI60" s="94">
        <v>0</v>
      </c>
      <c r="AJ60" s="94"/>
      <c r="AK60" s="94"/>
      <c r="AL60" s="94"/>
      <c r="AM60" s="90">
        <f t="shared" ref="AM60:AM62" si="96">SUM(AH60:AL60)</f>
        <v>0</v>
      </c>
      <c r="AN60" s="90">
        <v>0</v>
      </c>
      <c r="AO60" s="90">
        <f>SUM(AG60-AM60)</f>
        <v>2381745</v>
      </c>
      <c r="AP60" s="132">
        <f>SUM(AQ60:AS60)</f>
        <v>0</v>
      </c>
      <c r="AQ60" s="154"/>
      <c r="AR60" s="154"/>
      <c r="AS60" s="154"/>
      <c r="AT60" s="50"/>
    </row>
    <row r="61" spans="1:46" s="2" customFormat="1" ht="114" x14ac:dyDescent="0.35">
      <c r="B61" s="130" t="s">
        <v>122</v>
      </c>
      <c r="C61" s="130" t="s">
        <v>373</v>
      </c>
      <c r="D61" s="130"/>
      <c r="E61" s="131"/>
      <c r="F61" s="132">
        <f>SUM(219106+4000)</f>
        <v>223106</v>
      </c>
      <c r="G61" s="132">
        <v>248699</v>
      </c>
      <c r="H61" s="132">
        <f>SUM(I61:N61)</f>
        <v>265562.82900000003</v>
      </c>
      <c r="I61" s="132"/>
      <c r="J61" s="132">
        <v>229131</v>
      </c>
      <c r="K61" s="132"/>
      <c r="L61" s="132">
        <f t="shared" si="94"/>
        <v>36431.828999999998</v>
      </c>
      <c r="M61" s="132"/>
      <c r="N61" s="132"/>
      <c r="O61" s="132">
        <f>SUM(P61:R61)</f>
        <v>265562.82900000003</v>
      </c>
      <c r="P61" s="132">
        <f>SUM(219106+6025)</f>
        <v>225131</v>
      </c>
      <c r="Q61" s="132">
        <v>4000</v>
      </c>
      <c r="R61" s="132">
        <v>36431.828999999998</v>
      </c>
      <c r="S61" s="134"/>
      <c r="T61" s="132">
        <v>265562.82900000003</v>
      </c>
      <c r="U61" s="132"/>
      <c r="V61" s="132">
        <v>104162.4</v>
      </c>
      <c r="W61" s="132"/>
      <c r="X61" s="132"/>
      <c r="Y61" s="132"/>
      <c r="Z61" s="132">
        <f t="shared" ref="Z61:Z62" si="97">SUM(U61:Y61)</f>
        <v>104162.4</v>
      </c>
      <c r="AA61" s="132">
        <f t="shared" si="95"/>
        <v>161400.42900000003</v>
      </c>
      <c r="AB61" s="132">
        <f>SUM(AC61:AE61)</f>
        <v>0</v>
      </c>
      <c r="AC61" s="132"/>
      <c r="AD61" s="132"/>
      <c r="AE61" s="132"/>
      <c r="AF61" s="134"/>
      <c r="AG61" s="90">
        <v>265562.82900000003</v>
      </c>
      <c r="AH61" s="90"/>
      <c r="AI61" s="90">
        <v>127000.76</v>
      </c>
      <c r="AJ61" s="90"/>
      <c r="AK61" s="90"/>
      <c r="AL61" s="90"/>
      <c r="AM61" s="90">
        <f t="shared" si="96"/>
        <v>127000.76</v>
      </c>
      <c r="AN61" s="90">
        <v>0</v>
      </c>
      <c r="AO61" s="90">
        <f>SUM(AG61-AM61)</f>
        <v>138562.06900000002</v>
      </c>
      <c r="AP61" s="132">
        <f>SUM(AQ61:AS61)</f>
        <v>0</v>
      </c>
      <c r="AQ61" s="132"/>
      <c r="AR61" s="132"/>
      <c r="AS61" s="132"/>
      <c r="AT61" s="47"/>
    </row>
    <row r="62" spans="1:46" s="2" customFormat="1" ht="370.5" x14ac:dyDescent="0.35">
      <c r="B62" s="130" t="s">
        <v>124</v>
      </c>
      <c r="C62" s="130" t="s">
        <v>374</v>
      </c>
      <c r="D62" s="130"/>
      <c r="E62" s="131"/>
      <c r="F62" s="132"/>
      <c r="G62" s="132"/>
      <c r="H62" s="132">
        <f>SUM(I62:N62)</f>
        <v>1121791</v>
      </c>
      <c r="I62" s="132"/>
      <c r="J62" s="132">
        <v>900000</v>
      </c>
      <c r="K62" s="132"/>
      <c r="L62" s="132">
        <f>SUM(J62*15.9%)+78691</f>
        <v>221791</v>
      </c>
      <c r="M62" s="132"/>
      <c r="N62" s="132"/>
      <c r="O62" s="132">
        <f>SUM(P62:R62)</f>
        <v>1121791</v>
      </c>
      <c r="P62" s="132"/>
      <c r="Q62" s="132">
        <v>900000</v>
      </c>
      <c r="R62" s="132">
        <v>221791</v>
      </c>
      <c r="S62" s="134"/>
      <c r="T62" s="132">
        <v>1121791</v>
      </c>
      <c r="U62" s="132"/>
      <c r="V62" s="132">
        <v>0</v>
      </c>
      <c r="W62" s="132">
        <v>12400</v>
      </c>
      <c r="X62" s="132"/>
      <c r="Y62" s="132"/>
      <c r="Z62" s="132">
        <f t="shared" si="97"/>
        <v>12400</v>
      </c>
      <c r="AA62" s="132">
        <f t="shared" si="95"/>
        <v>1109391</v>
      </c>
      <c r="AB62" s="132">
        <f>SUM(AC62:AE62)</f>
        <v>0</v>
      </c>
      <c r="AC62" s="132"/>
      <c r="AD62" s="132"/>
      <c r="AE62" s="132"/>
      <c r="AF62" s="134"/>
      <c r="AG62" s="90">
        <v>1121791</v>
      </c>
      <c r="AH62" s="90"/>
      <c r="AI62" s="90">
        <v>117659.52</v>
      </c>
      <c r="AJ62" s="90"/>
      <c r="AK62" s="90"/>
      <c r="AL62" s="90"/>
      <c r="AM62" s="90">
        <f t="shared" si="96"/>
        <v>117659.52</v>
      </c>
      <c r="AN62" s="90">
        <v>0</v>
      </c>
      <c r="AO62" s="90">
        <f>SUM(AG62-AM62)</f>
        <v>1004131.48</v>
      </c>
      <c r="AP62" s="132">
        <f>SUM(AQ62:AS62)</f>
        <v>0</v>
      </c>
      <c r="AQ62" s="132"/>
      <c r="AR62" s="132"/>
      <c r="AS62" s="132"/>
      <c r="AT62" s="47"/>
    </row>
    <row r="63" spans="1:46" ht="28.5" x14ac:dyDescent="0.35">
      <c r="B63" s="161"/>
      <c r="C63" s="161"/>
      <c r="D63" s="161"/>
      <c r="E63" s="136"/>
      <c r="F63" s="125"/>
      <c r="G63" s="125"/>
      <c r="H63" s="125"/>
      <c r="I63" s="125"/>
      <c r="J63" s="125"/>
      <c r="K63" s="125"/>
      <c r="L63" s="125"/>
      <c r="M63" s="125"/>
      <c r="N63" s="125"/>
      <c r="O63" s="125"/>
      <c r="P63" s="125"/>
      <c r="Q63" s="125"/>
      <c r="R63" s="125"/>
      <c r="S63" s="126"/>
      <c r="T63" s="125"/>
      <c r="U63" s="125"/>
      <c r="V63" s="125"/>
      <c r="W63" s="125"/>
      <c r="X63" s="125"/>
      <c r="Y63" s="125"/>
      <c r="Z63" s="125"/>
      <c r="AA63" s="125"/>
      <c r="AB63" s="125"/>
      <c r="AC63" s="125"/>
      <c r="AD63" s="125"/>
      <c r="AE63" s="125"/>
      <c r="AF63" s="126"/>
      <c r="AG63" s="88"/>
      <c r="AH63" s="88"/>
      <c r="AI63" s="88"/>
      <c r="AJ63" s="88"/>
      <c r="AK63" s="88"/>
      <c r="AL63" s="88"/>
      <c r="AM63" s="88"/>
      <c r="AN63" s="88"/>
      <c r="AO63" s="88"/>
      <c r="AP63" s="125"/>
      <c r="AQ63" s="125"/>
      <c r="AR63" s="125"/>
      <c r="AS63" s="125"/>
      <c r="AT63" s="45"/>
    </row>
    <row r="64" spans="1:46" s="5" customFormat="1" ht="57" x14ac:dyDescent="0.65">
      <c r="A64" s="5">
        <v>1.9</v>
      </c>
      <c r="B64" s="170" t="s">
        <v>125</v>
      </c>
      <c r="C64" s="198" t="s">
        <v>433</v>
      </c>
      <c r="D64" s="199"/>
      <c r="E64" s="127"/>
      <c r="F64" s="128">
        <f t="shared" ref="F64:R64" si="98">+SUM(F65:F67)</f>
        <v>1090000</v>
      </c>
      <c r="G64" s="128">
        <f t="shared" si="98"/>
        <v>744533</v>
      </c>
      <c r="H64" s="128">
        <f>+SUM(H65:H67)</f>
        <v>1379210</v>
      </c>
      <c r="I64" s="128">
        <f t="shared" si="98"/>
        <v>0</v>
      </c>
      <c r="J64" s="128">
        <f t="shared" si="98"/>
        <v>1190000</v>
      </c>
      <c r="K64" s="128">
        <f t="shared" si="98"/>
        <v>0</v>
      </c>
      <c r="L64" s="128">
        <f>+SUM(L65:L67)</f>
        <v>189210</v>
      </c>
      <c r="M64" s="128">
        <f t="shared" si="98"/>
        <v>0</v>
      </c>
      <c r="N64" s="128">
        <f t="shared" si="98"/>
        <v>0</v>
      </c>
      <c r="O64" s="128">
        <f t="shared" si="98"/>
        <v>1379210</v>
      </c>
      <c r="P64" s="128">
        <f t="shared" si="98"/>
        <v>0</v>
      </c>
      <c r="Q64" s="128">
        <f t="shared" ref="Q64" si="99">+SUM(Q65:Q67)</f>
        <v>1190000</v>
      </c>
      <c r="R64" s="128">
        <f t="shared" si="98"/>
        <v>189210</v>
      </c>
      <c r="S64" s="141"/>
      <c r="T64" s="128">
        <v>1379210</v>
      </c>
      <c r="U64" s="128">
        <f t="shared" ref="U64:Y64" si="100">+SUM(U65:U67)</f>
        <v>0</v>
      </c>
      <c r="V64" s="128">
        <f>+SUM(V65:V67)</f>
        <v>887618</v>
      </c>
      <c r="W64" s="128">
        <f t="shared" si="100"/>
        <v>0</v>
      </c>
      <c r="X64" s="128">
        <f t="shared" si="100"/>
        <v>0</v>
      </c>
      <c r="Y64" s="128">
        <f t="shared" si="100"/>
        <v>0</v>
      </c>
      <c r="Z64" s="128">
        <f>+SUM(Z65:Z67)</f>
        <v>332178</v>
      </c>
      <c r="AA64" s="128">
        <f>+SUM(AA65:AA67)</f>
        <v>1047032</v>
      </c>
      <c r="AB64" s="128">
        <f t="shared" ref="AB64:AE64" si="101">+SUM(AB65:AB67)</f>
        <v>0</v>
      </c>
      <c r="AC64" s="128">
        <f t="shared" si="101"/>
        <v>0</v>
      </c>
      <c r="AD64" s="128">
        <f t="shared" si="101"/>
        <v>0</v>
      </c>
      <c r="AE64" s="128">
        <f t="shared" si="101"/>
        <v>0</v>
      </c>
      <c r="AF64" s="141"/>
      <c r="AG64" s="89">
        <v>1379210</v>
      </c>
      <c r="AH64" s="89">
        <f t="shared" ref="AH64:AS64" si="102">+SUM(AH65:AH67)</f>
        <v>0</v>
      </c>
      <c r="AI64" s="89">
        <f t="shared" si="102"/>
        <v>408759</v>
      </c>
      <c r="AJ64" s="89">
        <f t="shared" si="102"/>
        <v>0</v>
      </c>
      <c r="AK64" s="89">
        <f t="shared" si="102"/>
        <v>0</v>
      </c>
      <c r="AL64" s="89">
        <f t="shared" si="102"/>
        <v>0</v>
      </c>
      <c r="AM64" s="89">
        <f t="shared" si="102"/>
        <v>408759</v>
      </c>
      <c r="AN64" s="89">
        <f t="shared" ref="AN64" si="103">+SUM(AN65:AN67)</f>
        <v>0</v>
      </c>
      <c r="AO64" s="89">
        <f t="shared" si="102"/>
        <v>970451</v>
      </c>
      <c r="AP64" s="128">
        <f t="shared" si="102"/>
        <v>0</v>
      </c>
      <c r="AQ64" s="128">
        <f t="shared" si="102"/>
        <v>0</v>
      </c>
      <c r="AR64" s="128">
        <f t="shared" si="102"/>
        <v>0</v>
      </c>
      <c r="AS64" s="128">
        <f t="shared" si="102"/>
        <v>0</v>
      </c>
      <c r="AT64" s="46"/>
    </row>
    <row r="65" spans="1:46" ht="57" x14ac:dyDescent="0.35">
      <c r="B65" s="130" t="s">
        <v>126</v>
      </c>
      <c r="C65" s="130" t="s">
        <v>375</v>
      </c>
      <c r="D65" s="130"/>
      <c r="E65" s="131"/>
      <c r="F65" s="132">
        <v>900000</v>
      </c>
      <c r="G65" s="132">
        <v>563888</v>
      </c>
      <c r="H65" s="132">
        <f>SUM(I65:N65)</f>
        <v>1043100</v>
      </c>
      <c r="I65" s="132"/>
      <c r="J65" s="132">
        <v>900000</v>
      </c>
      <c r="K65" s="132"/>
      <c r="L65" s="132">
        <f t="shared" ref="L65:L67" si="104">SUM(J65*15.9%)</f>
        <v>143100</v>
      </c>
      <c r="M65" s="132"/>
      <c r="N65" s="132"/>
      <c r="O65" s="132">
        <f>SUM(P65:R65)</f>
        <v>1043100</v>
      </c>
      <c r="P65" s="132"/>
      <c r="Q65" s="132">
        <v>900000</v>
      </c>
      <c r="R65" s="132">
        <v>143100</v>
      </c>
      <c r="S65" s="134"/>
      <c r="T65" s="132">
        <v>1043100</v>
      </c>
      <c r="U65" s="132"/>
      <c r="V65" s="132">
        <v>555440</v>
      </c>
      <c r="W65" s="132"/>
      <c r="X65" s="132"/>
      <c r="Y65" s="132"/>
      <c r="Z65" s="132">
        <v>0</v>
      </c>
      <c r="AA65" s="132">
        <f t="shared" ref="AA65:AA67" si="105">SUM(T65-Z65)</f>
        <v>1043100</v>
      </c>
      <c r="AB65" s="132">
        <f>SUM(AC65:AE65)</f>
        <v>0</v>
      </c>
      <c r="AC65" s="132"/>
      <c r="AD65" s="132"/>
      <c r="AE65" s="132"/>
      <c r="AF65" s="134"/>
      <c r="AG65" s="90">
        <v>1043100</v>
      </c>
      <c r="AH65" s="90"/>
      <c r="AI65" s="90">
        <v>76581</v>
      </c>
      <c r="AJ65" s="90"/>
      <c r="AK65" s="90"/>
      <c r="AL65" s="90"/>
      <c r="AM65" s="90">
        <f t="shared" ref="AM65:AM67" si="106">SUM(AH65:AL65)</f>
        <v>76581</v>
      </c>
      <c r="AN65" s="90">
        <v>0</v>
      </c>
      <c r="AO65" s="90">
        <f>SUM(AG65-AM65)</f>
        <v>966519</v>
      </c>
      <c r="AP65" s="132">
        <f>SUM(AQ65:AS65)</f>
        <v>0</v>
      </c>
      <c r="AQ65" s="132"/>
      <c r="AR65" s="132"/>
      <c r="AS65" s="132"/>
      <c r="AT65" s="47"/>
    </row>
    <row r="66" spans="1:46" ht="85.5" x14ac:dyDescent="0.35">
      <c r="B66" s="130" t="s">
        <v>129</v>
      </c>
      <c r="C66" s="130" t="s">
        <v>376</v>
      </c>
      <c r="D66" s="130"/>
      <c r="E66" s="131"/>
      <c r="F66" s="132">
        <v>100000</v>
      </c>
      <c r="G66" s="132">
        <v>74395</v>
      </c>
      <c r="H66" s="132">
        <f>SUM(I66:N66)</f>
        <v>231800</v>
      </c>
      <c r="I66" s="139"/>
      <c r="J66" s="139">
        <v>200000</v>
      </c>
      <c r="K66" s="139"/>
      <c r="L66" s="132">
        <f t="shared" si="104"/>
        <v>31800</v>
      </c>
      <c r="M66" s="132"/>
      <c r="N66" s="132"/>
      <c r="O66" s="132">
        <f>SUM(P66:R66)</f>
        <v>231800</v>
      </c>
      <c r="P66" s="132"/>
      <c r="Q66" s="139">
        <v>200000</v>
      </c>
      <c r="R66" s="139">
        <v>31800</v>
      </c>
      <c r="S66" s="140"/>
      <c r="T66" s="139">
        <v>231800</v>
      </c>
      <c r="U66" s="139"/>
      <c r="V66" s="139">
        <v>231078</v>
      </c>
      <c r="W66" s="139"/>
      <c r="X66" s="132"/>
      <c r="Y66" s="132"/>
      <c r="Z66" s="132">
        <f t="shared" ref="Z66:Z67" si="107">SUM(U66:Y66)</f>
        <v>231078</v>
      </c>
      <c r="AA66" s="132">
        <f>SUM(T66-Z66)</f>
        <v>722</v>
      </c>
      <c r="AB66" s="132">
        <f>SUM(AC66:AE66)</f>
        <v>0</v>
      </c>
      <c r="AC66" s="132"/>
      <c r="AD66" s="139"/>
      <c r="AE66" s="139"/>
      <c r="AF66" s="140"/>
      <c r="AG66" s="91">
        <v>231800</v>
      </c>
      <c r="AH66" s="91"/>
      <c r="AI66" s="91">
        <v>231078</v>
      </c>
      <c r="AJ66" s="91"/>
      <c r="AK66" s="90"/>
      <c r="AL66" s="90"/>
      <c r="AM66" s="90">
        <f t="shared" si="106"/>
        <v>231078</v>
      </c>
      <c r="AN66" s="90">
        <v>0</v>
      </c>
      <c r="AO66" s="90">
        <f>SUM(AG66-AM66)</f>
        <v>722</v>
      </c>
      <c r="AP66" s="132">
        <f>SUM(AQ66:AS66)</f>
        <v>0</v>
      </c>
      <c r="AQ66" s="132"/>
      <c r="AR66" s="139"/>
      <c r="AS66" s="139"/>
      <c r="AT66" s="48"/>
    </row>
    <row r="67" spans="1:46" ht="114" x14ac:dyDescent="0.65">
      <c r="B67" s="138" t="s">
        <v>131</v>
      </c>
      <c r="C67" s="138" t="s">
        <v>377</v>
      </c>
      <c r="D67" s="138"/>
      <c r="E67" s="131"/>
      <c r="F67" s="132">
        <v>90000</v>
      </c>
      <c r="G67" s="132">
        <v>106250</v>
      </c>
      <c r="H67" s="132">
        <f>SUM(I67:N67)</f>
        <v>104310</v>
      </c>
      <c r="I67" s="139"/>
      <c r="J67" s="139">
        <v>90000</v>
      </c>
      <c r="K67" s="139"/>
      <c r="L67" s="132">
        <f t="shared" si="104"/>
        <v>14310</v>
      </c>
      <c r="M67" s="132"/>
      <c r="N67" s="132"/>
      <c r="O67" s="132">
        <f>SUM(P67:R67)</f>
        <v>104310</v>
      </c>
      <c r="P67" s="132"/>
      <c r="Q67" s="139">
        <v>90000</v>
      </c>
      <c r="R67" s="139">
        <v>14310</v>
      </c>
      <c r="S67" s="140"/>
      <c r="T67" s="139">
        <v>104310</v>
      </c>
      <c r="U67" s="139"/>
      <c r="V67" s="139">
        <v>101100</v>
      </c>
      <c r="W67" s="139"/>
      <c r="X67" s="132"/>
      <c r="Y67" s="132"/>
      <c r="Z67" s="132">
        <f t="shared" si="107"/>
        <v>101100</v>
      </c>
      <c r="AA67" s="132">
        <f t="shared" si="105"/>
        <v>3210</v>
      </c>
      <c r="AB67" s="132">
        <f>SUM(AC67:AE67)</f>
        <v>0</v>
      </c>
      <c r="AC67" s="132"/>
      <c r="AD67" s="139"/>
      <c r="AE67" s="139"/>
      <c r="AF67" s="140"/>
      <c r="AG67" s="91">
        <v>104310</v>
      </c>
      <c r="AH67" s="91"/>
      <c r="AI67" s="91">
        <v>101100</v>
      </c>
      <c r="AJ67" s="91"/>
      <c r="AK67" s="90"/>
      <c r="AL67" s="90"/>
      <c r="AM67" s="90">
        <f t="shared" si="106"/>
        <v>101100</v>
      </c>
      <c r="AN67" s="90">
        <v>0</v>
      </c>
      <c r="AO67" s="90">
        <f>SUM(AG67-AM67)</f>
        <v>3210</v>
      </c>
      <c r="AP67" s="132">
        <f>SUM(AQ67:AS67)</f>
        <v>0</v>
      </c>
      <c r="AQ67" s="132"/>
      <c r="AR67" s="139"/>
      <c r="AS67" s="139"/>
      <c r="AT67" s="48"/>
    </row>
    <row r="68" spans="1:46" ht="28.5" x14ac:dyDescent="0.35">
      <c r="B68" s="161"/>
      <c r="C68" s="161"/>
      <c r="D68" s="161"/>
      <c r="E68" s="136"/>
      <c r="F68" s="125"/>
      <c r="G68" s="125"/>
      <c r="H68" s="125"/>
      <c r="I68" s="125"/>
      <c r="J68" s="125"/>
      <c r="K68" s="125"/>
      <c r="L68" s="125"/>
      <c r="M68" s="125"/>
      <c r="N68" s="125"/>
      <c r="O68" s="125"/>
      <c r="P68" s="125"/>
      <c r="Q68" s="125"/>
      <c r="R68" s="125"/>
      <c r="S68" s="126"/>
      <c r="T68" s="125"/>
      <c r="U68" s="125"/>
      <c r="V68" s="125"/>
      <c r="W68" s="125"/>
      <c r="X68" s="125"/>
      <c r="Y68" s="125"/>
      <c r="Z68" s="125"/>
      <c r="AA68" s="125"/>
      <c r="AB68" s="125"/>
      <c r="AC68" s="125"/>
      <c r="AD68" s="125"/>
      <c r="AE68" s="125"/>
      <c r="AF68" s="126"/>
      <c r="AG68" s="88"/>
      <c r="AH68" s="88"/>
      <c r="AI68" s="88"/>
      <c r="AJ68" s="88"/>
      <c r="AK68" s="88"/>
      <c r="AL68" s="88"/>
      <c r="AM68" s="88"/>
      <c r="AN68" s="88"/>
      <c r="AO68" s="88"/>
      <c r="AP68" s="125"/>
      <c r="AQ68" s="125"/>
      <c r="AR68" s="125"/>
      <c r="AS68" s="125"/>
      <c r="AT68" s="46"/>
    </row>
    <row r="69" spans="1:46" ht="28.5" x14ac:dyDescent="0.35">
      <c r="B69" s="161"/>
      <c r="C69" s="161"/>
      <c r="D69" s="161"/>
      <c r="E69" s="136"/>
      <c r="F69" s="125"/>
      <c r="G69" s="125"/>
      <c r="H69" s="125"/>
      <c r="I69" s="125"/>
      <c r="J69" s="125"/>
      <c r="K69" s="125"/>
      <c r="L69" s="125"/>
      <c r="M69" s="125"/>
      <c r="N69" s="125"/>
      <c r="O69" s="125"/>
      <c r="P69" s="125"/>
      <c r="Q69" s="125"/>
      <c r="R69" s="125"/>
      <c r="S69" s="126"/>
      <c r="T69" s="125"/>
      <c r="U69" s="125"/>
      <c r="V69" s="125"/>
      <c r="W69" s="125"/>
      <c r="X69" s="125"/>
      <c r="Y69" s="125"/>
      <c r="Z69" s="125"/>
      <c r="AA69" s="125"/>
      <c r="AB69" s="125"/>
      <c r="AC69" s="125"/>
      <c r="AD69" s="125"/>
      <c r="AE69" s="125"/>
      <c r="AF69" s="126"/>
      <c r="AG69" s="88"/>
      <c r="AH69" s="88"/>
      <c r="AI69" s="88"/>
      <c r="AJ69" s="88"/>
      <c r="AK69" s="88"/>
      <c r="AL69" s="88"/>
      <c r="AM69" s="88"/>
      <c r="AN69" s="88"/>
      <c r="AO69" s="88"/>
      <c r="AP69" s="125"/>
      <c r="AQ69" s="125"/>
      <c r="AR69" s="125"/>
      <c r="AS69" s="125"/>
      <c r="AT69" s="46"/>
    </row>
    <row r="70" spans="1:46" ht="28.5" x14ac:dyDescent="0.65">
      <c r="B70" s="156" t="s">
        <v>133</v>
      </c>
      <c r="C70" s="156"/>
      <c r="D70" s="156"/>
      <c r="E70" s="122" t="s">
        <v>134</v>
      </c>
      <c r="F70" s="123">
        <f t="shared" ref="F70:S70" si="108">+F72+F77+F82+F86+F91+F94+F98+F110+F115+F119+F122+F125</f>
        <v>234673516</v>
      </c>
      <c r="G70" s="123">
        <f t="shared" si="108"/>
        <v>250369192</v>
      </c>
      <c r="H70" s="123">
        <f>+H72+H77+H82+H86+H91+H94+H98+H110+H115+H119+H122+H125</f>
        <v>271317240.94400001</v>
      </c>
      <c r="I70" s="123">
        <f t="shared" si="108"/>
        <v>202514676</v>
      </c>
      <c r="J70" s="123">
        <f>+J72+J77+J82+J86+J91+J94+J98+J110+J115+J119+J122+J125</f>
        <v>49083616</v>
      </c>
      <c r="K70" s="123">
        <f t="shared" si="108"/>
        <v>7467848</v>
      </c>
      <c r="L70" s="123">
        <f>+L72+L77+L82+L86+L91+L94+L98+L110+L115+L119+L122+L125</f>
        <v>7804294.9439999992</v>
      </c>
      <c r="M70" s="123">
        <f t="shared" si="108"/>
        <v>300000</v>
      </c>
      <c r="N70" s="123">
        <f>+N72+N77+N82+N86+N91+N94+N98+N110+N115+N119+N122+N125</f>
        <v>4146806</v>
      </c>
      <c r="O70" s="123">
        <f t="shared" si="108"/>
        <v>64355759.299999997</v>
      </c>
      <c r="P70" s="123">
        <f t="shared" si="108"/>
        <v>55508269</v>
      </c>
      <c r="Q70" s="123">
        <f t="shared" si="108"/>
        <v>1043195</v>
      </c>
      <c r="R70" s="123">
        <f t="shared" si="108"/>
        <v>7804295.2999999998</v>
      </c>
      <c r="S70" s="123">
        <f t="shared" si="108"/>
        <v>0</v>
      </c>
      <c r="T70" s="123">
        <v>271317240.94400001</v>
      </c>
      <c r="U70" s="123">
        <f t="shared" ref="U70:AF70" si="109">+U72+U77+U82+U86+U91+U94+U98+U110+U115+U119+U122+U125</f>
        <v>85809404.230000004</v>
      </c>
      <c r="V70" s="123">
        <f t="shared" si="109"/>
        <v>18711040</v>
      </c>
      <c r="W70" s="123">
        <f t="shared" si="109"/>
        <v>75998.210000000006</v>
      </c>
      <c r="X70" s="123">
        <f t="shared" si="109"/>
        <v>0</v>
      </c>
      <c r="Y70" s="123">
        <f t="shared" si="109"/>
        <v>1512253.9</v>
      </c>
      <c r="Z70" s="123">
        <f>+Z72+Z77+Z82+Z86+Z91+Z94+Z98+Z110+Z115+Z119+Z122+Z125</f>
        <v>106108696.34</v>
      </c>
      <c r="AA70" s="123">
        <f>+AA72+AA77+AA82+AA86+AA91+AA94+AA98+AA110+AA115+AA119+AA122+AA125</f>
        <v>165208544.604</v>
      </c>
      <c r="AB70" s="123">
        <f t="shared" si="109"/>
        <v>0</v>
      </c>
      <c r="AC70" s="123">
        <f t="shared" si="109"/>
        <v>0</v>
      </c>
      <c r="AD70" s="123">
        <f t="shared" si="109"/>
        <v>0</v>
      </c>
      <c r="AE70" s="123">
        <f t="shared" si="109"/>
        <v>0</v>
      </c>
      <c r="AF70" s="123">
        <f t="shared" si="109"/>
        <v>0</v>
      </c>
      <c r="AG70" s="87">
        <v>271317240.94400001</v>
      </c>
      <c r="AH70" s="87">
        <f t="shared" ref="AH70:AL70" si="110">+AH72+AH77+AH82+AH86+AH91+AH94+AH98+AH110+AH115+AH119+AH122+AH125</f>
        <v>128785005.43000001</v>
      </c>
      <c r="AI70" s="87">
        <f t="shared" si="110"/>
        <v>29915946.870000001</v>
      </c>
      <c r="AJ70" s="87">
        <f t="shared" si="110"/>
        <v>120647.13</v>
      </c>
      <c r="AK70" s="87">
        <f t="shared" si="110"/>
        <v>0</v>
      </c>
      <c r="AL70" s="87">
        <f t="shared" si="110"/>
        <v>2403785.9500000002</v>
      </c>
      <c r="AM70" s="87">
        <f>+AM72+AM77+AM82+AM86+AM91+AM94+AM98+AM110+AM115+AM119+AM122+AM125</f>
        <v>161225385.38</v>
      </c>
      <c r="AN70" s="87">
        <f>+AN72+AN77+AN82+AN86+AN91+AN94+AN98+AN110+AN115+AN119+AN122+AN125</f>
        <v>0</v>
      </c>
      <c r="AO70" s="87">
        <f>+AO72+AO77+AO82+AO86+AO91+AO94+AO98+AO110+AO115+AO119+AO122+AO125</f>
        <v>110091855.56399998</v>
      </c>
      <c r="AP70" s="123">
        <f t="shared" ref="AP70:AS70" si="111">+AP72+AP77+AP82+AP86+AP91+AP94+AP98+AP110+AP115+AP119+AP122+AP125</f>
        <v>0</v>
      </c>
      <c r="AQ70" s="123">
        <f t="shared" si="111"/>
        <v>0</v>
      </c>
      <c r="AR70" s="123">
        <f t="shared" si="111"/>
        <v>0</v>
      </c>
      <c r="AS70" s="123">
        <f t="shared" si="111"/>
        <v>0</v>
      </c>
      <c r="AT70" s="46"/>
    </row>
    <row r="71" spans="1:46" ht="28.5" x14ac:dyDescent="0.65">
      <c r="B71" s="121" t="s">
        <v>135</v>
      </c>
      <c r="C71" s="191"/>
      <c r="D71" s="121"/>
      <c r="E71" s="124"/>
      <c r="F71" s="125"/>
      <c r="G71" s="125"/>
      <c r="H71" s="125"/>
      <c r="I71" s="125"/>
      <c r="J71" s="125"/>
      <c r="K71" s="125"/>
      <c r="L71" s="125"/>
      <c r="M71" s="125"/>
      <c r="N71" s="125"/>
      <c r="O71" s="125"/>
      <c r="P71" s="125"/>
      <c r="Q71" s="125"/>
      <c r="R71" s="125"/>
      <c r="S71" s="126"/>
      <c r="T71" s="125"/>
      <c r="U71" s="125"/>
      <c r="V71" s="125"/>
      <c r="W71" s="125"/>
      <c r="X71" s="125"/>
      <c r="Y71" s="125"/>
      <c r="Z71" s="125"/>
      <c r="AA71" s="125"/>
      <c r="AB71" s="125"/>
      <c r="AC71" s="125"/>
      <c r="AD71" s="125"/>
      <c r="AE71" s="125"/>
      <c r="AF71" s="126"/>
      <c r="AG71" s="88"/>
      <c r="AH71" s="88"/>
      <c r="AI71" s="88"/>
      <c r="AJ71" s="88"/>
      <c r="AK71" s="88"/>
      <c r="AL71" s="88"/>
      <c r="AM71" s="88"/>
      <c r="AN71" s="88"/>
      <c r="AO71" s="88"/>
      <c r="AP71" s="125"/>
      <c r="AQ71" s="125"/>
      <c r="AR71" s="125"/>
      <c r="AS71" s="125"/>
      <c r="AT71" s="45"/>
    </row>
    <row r="72" spans="1:46" ht="57" x14ac:dyDescent="0.65">
      <c r="A72" s="1">
        <v>2.1</v>
      </c>
      <c r="B72" s="170" t="s">
        <v>136</v>
      </c>
      <c r="C72" s="198" t="s">
        <v>434</v>
      </c>
      <c r="D72" s="199"/>
      <c r="E72" s="127"/>
      <c r="F72" s="128">
        <f t="shared" ref="F72:R72" si="112">+SUM(F73:F75)</f>
        <v>672439</v>
      </c>
      <c r="G72" s="128">
        <f t="shared" si="112"/>
        <v>205133</v>
      </c>
      <c r="H72" s="128">
        <f>+SUM(H73:H75)</f>
        <v>794764.54700000002</v>
      </c>
      <c r="I72" s="128">
        <f t="shared" si="112"/>
        <v>0</v>
      </c>
      <c r="J72" s="128">
        <f>+SUM(J73:J75)</f>
        <v>685733</v>
      </c>
      <c r="K72" s="128">
        <f t="shared" si="112"/>
        <v>0</v>
      </c>
      <c r="L72" s="128">
        <f>+SUM(L73:L75)</f>
        <v>109031.54699999999</v>
      </c>
      <c r="M72" s="128">
        <f t="shared" si="112"/>
        <v>0</v>
      </c>
      <c r="N72" s="128">
        <f t="shared" si="112"/>
        <v>0</v>
      </c>
      <c r="O72" s="128">
        <f t="shared" si="112"/>
        <v>794764.54700000002</v>
      </c>
      <c r="P72" s="128">
        <f t="shared" si="112"/>
        <v>432733</v>
      </c>
      <c r="Q72" s="128">
        <f t="shared" ref="Q72" si="113">+SUM(Q73:Q75)</f>
        <v>253000</v>
      </c>
      <c r="R72" s="128">
        <f t="shared" si="112"/>
        <v>109031.54699999999</v>
      </c>
      <c r="S72" s="141"/>
      <c r="T72" s="128">
        <v>794764.54700000002</v>
      </c>
      <c r="U72" s="128">
        <f t="shared" ref="U72:Y72" si="114">+SUM(U73:U75)</f>
        <v>0</v>
      </c>
      <c r="V72" s="128">
        <f>+SUM(V73:V75)</f>
        <v>94362.66</v>
      </c>
      <c r="W72" s="128">
        <f t="shared" si="114"/>
        <v>0</v>
      </c>
      <c r="X72" s="128">
        <f t="shared" si="114"/>
        <v>0</v>
      </c>
      <c r="Y72" s="128">
        <f t="shared" si="114"/>
        <v>0</v>
      </c>
      <c r="Z72" s="128">
        <f>+SUM(Z73:Z75)</f>
        <v>94362.66</v>
      </c>
      <c r="AA72" s="128">
        <f>+SUM(AA73:AA75)</f>
        <v>700401.88699999999</v>
      </c>
      <c r="AB72" s="128">
        <f t="shared" ref="AB72:AE72" si="115">+SUM(AB73:AB75)</f>
        <v>0</v>
      </c>
      <c r="AC72" s="128">
        <f t="shared" si="115"/>
        <v>0</v>
      </c>
      <c r="AD72" s="128">
        <f t="shared" si="115"/>
        <v>0</v>
      </c>
      <c r="AE72" s="128">
        <f t="shared" si="115"/>
        <v>0</v>
      </c>
      <c r="AF72" s="141"/>
      <c r="AG72" s="89">
        <v>794764.54700000002</v>
      </c>
      <c r="AH72" s="89">
        <f t="shared" ref="AH72:AS72" si="116">+SUM(AH73:AH75)</f>
        <v>0</v>
      </c>
      <c r="AI72" s="89">
        <f t="shared" si="116"/>
        <v>115005.38</v>
      </c>
      <c r="AJ72" s="89">
        <f t="shared" si="116"/>
        <v>0</v>
      </c>
      <c r="AK72" s="89">
        <f t="shared" si="116"/>
        <v>0</v>
      </c>
      <c r="AL72" s="89">
        <f t="shared" si="116"/>
        <v>0</v>
      </c>
      <c r="AM72" s="89">
        <f t="shared" si="116"/>
        <v>115005.38</v>
      </c>
      <c r="AN72" s="89">
        <f t="shared" ref="AN72" si="117">+SUM(AN73:AN75)</f>
        <v>0</v>
      </c>
      <c r="AO72" s="89">
        <f t="shared" si="116"/>
        <v>679759.16700000002</v>
      </c>
      <c r="AP72" s="128">
        <f t="shared" si="116"/>
        <v>0</v>
      </c>
      <c r="AQ72" s="128">
        <f t="shared" si="116"/>
        <v>0</v>
      </c>
      <c r="AR72" s="128">
        <f t="shared" si="116"/>
        <v>0</v>
      </c>
      <c r="AS72" s="128">
        <f t="shared" si="116"/>
        <v>0</v>
      </c>
      <c r="AT72" s="46"/>
    </row>
    <row r="73" spans="1:46" ht="142.5" x14ac:dyDescent="0.35">
      <c r="B73" s="130" t="s">
        <v>137</v>
      </c>
      <c r="C73" s="130" t="s">
        <v>378</v>
      </c>
      <c r="D73" s="130"/>
      <c r="E73" s="152"/>
      <c r="F73" s="132">
        <v>433239</v>
      </c>
      <c r="G73" s="132">
        <v>21357</v>
      </c>
      <c r="H73" s="132">
        <f>SUM(I73:N73)</f>
        <v>509430.337</v>
      </c>
      <c r="I73" s="139"/>
      <c r="J73" s="139">
        <v>439543</v>
      </c>
      <c r="K73" s="139"/>
      <c r="L73" s="132">
        <f t="shared" ref="L73:L75" si="118">SUM(J73*15.9%)</f>
        <v>69887.337</v>
      </c>
      <c r="M73" s="132"/>
      <c r="N73" s="132"/>
      <c r="O73" s="132">
        <f>SUM(P73:R73)</f>
        <v>509430.337</v>
      </c>
      <c r="P73" s="132">
        <f>SUM(229239+7304)</f>
        <v>236543</v>
      </c>
      <c r="Q73" s="139">
        <v>203000</v>
      </c>
      <c r="R73" s="139">
        <v>69887.337</v>
      </c>
      <c r="S73" s="140"/>
      <c r="T73" s="139">
        <v>509430.337</v>
      </c>
      <c r="U73" s="139"/>
      <c r="V73" s="139">
        <v>54040.79</v>
      </c>
      <c r="W73" s="139"/>
      <c r="X73" s="132"/>
      <c r="Y73" s="132"/>
      <c r="Z73" s="132">
        <f t="shared" ref="Z73:Z75" si="119">SUM(U73:Y73)</f>
        <v>54040.79</v>
      </c>
      <c r="AA73" s="132">
        <f t="shared" ref="AA73:AA75" si="120">SUM(T73-Z73)</f>
        <v>455389.54700000002</v>
      </c>
      <c r="AB73" s="132">
        <f>SUM(AC73:AE73)</f>
        <v>0</v>
      </c>
      <c r="AC73" s="132"/>
      <c r="AD73" s="139"/>
      <c r="AE73" s="139"/>
      <c r="AF73" s="140"/>
      <c r="AG73" s="91">
        <v>509430.337</v>
      </c>
      <c r="AH73" s="91"/>
      <c r="AI73" s="91">
        <v>54040.79</v>
      </c>
      <c r="AJ73" s="91"/>
      <c r="AK73" s="90"/>
      <c r="AL73" s="90"/>
      <c r="AM73" s="90">
        <f t="shared" ref="AM73:AM75" si="121">SUM(AH73:AL73)</f>
        <v>54040.79</v>
      </c>
      <c r="AN73" s="90">
        <v>0</v>
      </c>
      <c r="AO73" s="90">
        <f>SUM(AG73-AM73)</f>
        <v>455389.54700000002</v>
      </c>
      <c r="AP73" s="132">
        <f>SUM(AQ73:AS73)</f>
        <v>0</v>
      </c>
      <c r="AQ73" s="132"/>
      <c r="AR73" s="139"/>
      <c r="AS73" s="139"/>
      <c r="AT73" s="48"/>
    </row>
    <row r="74" spans="1:46" ht="57" x14ac:dyDescent="0.35">
      <c r="B74" s="130" t="s">
        <v>140</v>
      </c>
      <c r="C74" s="130" t="s">
        <v>379</v>
      </c>
      <c r="D74" s="130"/>
      <c r="E74" s="152"/>
      <c r="F74" s="132">
        <v>48261</v>
      </c>
      <c r="G74" s="132">
        <v>0</v>
      </c>
      <c r="H74" s="132">
        <f>SUM(I74:N74)</f>
        <v>57950</v>
      </c>
      <c r="I74" s="139"/>
      <c r="J74" s="139">
        <v>50000</v>
      </c>
      <c r="K74" s="139"/>
      <c r="L74" s="132">
        <f t="shared" si="118"/>
        <v>7950</v>
      </c>
      <c r="M74" s="132"/>
      <c r="N74" s="132"/>
      <c r="O74" s="132">
        <f>SUM(P74:R74)</f>
        <v>57950</v>
      </c>
      <c r="P74" s="132"/>
      <c r="Q74" s="139">
        <v>50000</v>
      </c>
      <c r="R74" s="139">
        <v>7950</v>
      </c>
      <c r="S74" s="140"/>
      <c r="T74" s="139">
        <v>57950</v>
      </c>
      <c r="U74" s="139"/>
      <c r="V74" s="139">
        <v>6337.13</v>
      </c>
      <c r="W74" s="139"/>
      <c r="X74" s="132"/>
      <c r="Y74" s="132"/>
      <c r="Z74" s="132">
        <f t="shared" si="119"/>
        <v>6337.13</v>
      </c>
      <c r="AA74" s="132">
        <f t="shared" si="120"/>
        <v>51612.87</v>
      </c>
      <c r="AB74" s="132">
        <f>SUM(AC74:AE74)</f>
        <v>0</v>
      </c>
      <c r="AC74" s="132"/>
      <c r="AD74" s="139"/>
      <c r="AE74" s="139"/>
      <c r="AF74" s="140"/>
      <c r="AG74" s="91">
        <v>57950</v>
      </c>
      <c r="AH74" s="91"/>
      <c r="AI74" s="91">
        <v>6179.58</v>
      </c>
      <c r="AJ74" s="91"/>
      <c r="AK74" s="90"/>
      <c r="AL74" s="90"/>
      <c r="AM74" s="90">
        <f t="shared" si="121"/>
        <v>6179.58</v>
      </c>
      <c r="AN74" s="90">
        <v>0</v>
      </c>
      <c r="AO74" s="90">
        <f>SUM(AG74-AM74)</f>
        <v>51770.42</v>
      </c>
      <c r="AP74" s="132">
        <f>SUM(AQ74:AS74)</f>
        <v>0</v>
      </c>
      <c r="AQ74" s="132"/>
      <c r="AR74" s="139"/>
      <c r="AS74" s="139"/>
      <c r="AT74" s="48"/>
    </row>
    <row r="75" spans="1:46" ht="142.5" x14ac:dyDescent="0.35">
      <c r="B75" s="130" t="s">
        <v>142</v>
      </c>
      <c r="C75" s="130" t="s">
        <v>380</v>
      </c>
      <c r="D75" s="130"/>
      <c r="E75" s="152"/>
      <c r="F75" s="132">
        <v>190939</v>
      </c>
      <c r="G75" s="132">
        <v>183776</v>
      </c>
      <c r="H75" s="132">
        <f>SUM(I75:N75)</f>
        <v>227384.21</v>
      </c>
      <c r="I75" s="139"/>
      <c r="J75" s="139">
        <v>196190</v>
      </c>
      <c r="K75" s="139"/>
      <c r="L75" s="132">
        <f t="shared" si="118"/>
        <v>31194.21</v>
      </c>
      <c r="M75" s="132"/>
      <c r="N75" s="132"/>
      <c r="O75" s="132">
        <f>SUM(P75:R75)</f>
        <v>227384.21</v>
      </c>
      <c r="P75" s="132">
        <f>SUM(190939+5251)</f>
        <v>196190</v>
      </c>
      <c r="Q75" s="139"/>
      <c r="R75" s="139">
        <v>31194.21</v>
      </c>
      <c r="S75" s="140"/>
      <c r="T75" s="139">
        <v>227384.21</v>
      </c>
      <c r="U75" s="139"/>
      <c r="V75" s="139">
        <v>33984.74</v>
      </c>
      <c r="W75" s="139"/>
      <c r="X75" s="132"/>
      <c r="Y75" s="132"/>
      <c r="Z75" s="132">
        <f t="shared" si="119"/>
        <v>33984.74</v>
      </c>
      <c r="AA75" s="132">
        <f t="shared" si="120"/>
        <v>193399.47</v>
      </c>
      <c r="AB75" s="132">
        <f>SUM(AC75:AE75)</f>
        <v>0</v>
      </c>
      <c r="AC75" s="132"/>
      <c r="AD75" s="139"/>
      <c r="AE75" s="139"/>
      <c r="AF75" s="140"/>
      <c r="AG75" s="91">
        <v>227384.21</v>
      </c>
      <c r="AH75" s="91"/>
      <c r="AI75" s="91">
        <v>54785.01</v>
      </c>
      <c r="AJ75" s="91"/>
      <c r="AK75" s="90"/>
      <c r="AL75" s="90"/>
      <c r="AM75" s="90">
        <f t="shared" si="121"/>
        <v>54785.01</v>
      </c>
      <c r="AN75" s="90">
        <v>0</v>
      </c>
      <c r="AO75" s="90">
        <f>SUM(AG75-AM75)</f>
        <v>172599.19999999998</v>
      </c>
      <c r="AP75" s="132">
        <f>SUM(AQ75:AS75)</f>
        <v>0</v>
      </c>
      <c r="AQ75" s="132"/>
      <c r="AR75" s="139"/>
      <c r="AS75" s="139"/>
      <c r="AT75" s="48"/>
    </row>
    <row r="76" spans="1:46" ht="28.5" x14ac:dyDescent="0.35">
      <c r="B76" s="161"/>
      <c r="C76" s="161"/>
      <c r="D76" s="161"/>
      <c r="E76" s="136"/>
      <c r="F76" s="125"/>
      <c r="G76" s="125"/>
      <c r="H76" s="125"/>
      <c r="I76" s="125"/>
      <c r="J76" s="125"/>
      <c r="K76" s="125"/>
      <c r="L76" s="125"/>
      <c r="M76" s="125"/>
      <c r="N76" s="125"/>
      <c r="O76" s="125"/>
      <c r="P76" s="125"/>
      <c r="Q76" s="125"/>
      <c r="R76" s="125"/>
      <c r="S76" s="126"/>
      <c r="T76" s="125"/>
      <c r="U76" s="125"/>
      <c r="V76" s="125"/>
      <c r="W76" s="125"/>
      <c r="X76" s="125"/>
      <c r="Y76" s="125"/>
      <c r="Z76" s="125"/>
      <c r="AA76" s="125"/>
      <c r="AB76" s="125"/>
      <c r="AC76" s="125"/>
      <c r="AD76" s="125"/>
      <c r="AE76" s="125"/>
      <c r="AF76" s="126"/>
      <c r="AG76" s="88"/>
      <c r="AH76" s="88"/>
      <c r="AI76" s="88"/>
      <c r="AJ76" s="88"/>
      <c r="AK76" s="88"/>
      <c r="AL76" s="88"/>
      <c r="AM76" s="88"/>
      <c r="AN76" s="88"/>
      <c r="AO76" s="88"/>
      <c r="AP76" s="125"/>
      <c r="AQ76" s="125"/>
      <c r="AR76" s="125"/>
      <c r="AS76" s="125"/>
      <c r="AT76" s="45"/>
    </row>
    <row r="77" spans="1:46" ht="57" x14ac:dyDescent="0.65">
      <c r="A77" s="1">
        <v>2.2000000000000002</v>
      </c>
      <c r="B77" s="170" t="s">
        <v>144</v>
      </c>
      <c r="C77" s="198" t="s">
        <v>435</v>
      </c>
      <c r="D77" s="199"/>
      <c r="E77" s="127"/>
      <c r="F77" s="128">
        <f t="shared" ref="F77:R77" si="122">+SUM(F78:F80)</f>
        <v>2941213</v>
      </c>
      <c r="G77" s="128">
        <f t="shared" si="122"/>
        <v>2711952</v>
      </c>
      <c r="H77" s="128">
        <f>+SUM(H78:H80)</f>
        <v>3501749.2860000003</v>
      </c>
      <c r="I77" s="128">
        <f t="shared" si="122"/>
        <v>0</v>
      </c>
      <c r="J77" s="128">
        <f t="shared" si="122"/>
        <v>3021354</v>
      </c>
      <c r="K77" s="128">
        <f t="shared" si="122"/>
        <v>0</v>
      </c>
      <c r="L77" s="128">
        <f>+SUM(L78:L80)</f>
        <v>480395.28600000002</v>
      </c>
      <c r="M77" s="128">
        <f t="shared" si="122"/>
        <v>0</v>
      </c>
      <c r="N77" s="128">
        <f t="shared" si="122"/>
        <v>0</v>
      </c>
      <c r="O77" s="128">
        <f t="shared" si="122"/>
        <v>3501749.2860000003</v>
      </c>
      <c r="P77" s="128">
        <f t="shared" si="122"/>
        <v>2994354</v>
      </c>
      <c r="Q77" s="128">
        <f t="shared" ref="Q77" si="123">+SUM(Q78:Q80)</f>
        <v>27000</v>
      </c>
      <c r="R77" s="128">
        <f t="shared" si="122"/>
        <v>480395.28600000002</v>
      </c>
      <c r="S77" s="141"/>
      <c r="T77" s="128">
        <v>3501749.2860000003</v>
      </c>
      <c r="U77" s="128">
        <f t="shared" ref="U77:Y77" si="124">+SUM(U78:U80)</f>
        <v>0</v>
      </c>
      <c r="V77" s="128">
        <f t="shared" si="124"/>
        <v>1442549.38</v>
      </c>
      <c r="W77" s="128">
        <f t="shared" si="124"/>
        <v>0</v>
      </c>
      <c r="X77" s="128">
        <f t="shared" si="124"/>
        <v>0</v>
      </c>
      <c r="Y77" s="128">
        <f t="shared" si="124"/>
        <v>0</v>
      </c>
      <c r="Z77" s="128">
        <f>+SUM(Z78:Z80)</f>
        <v>1442549.38</v>
      </c>
      <c r="AA77" s="128">
        <f>+SUM(AA78:AA80)</f>
        <v>2059199.9060000002</v>
      </c>
      <c r="AB77" s="128">
        <f t="shared" ref="AB77:AE77" si="125">+SUM(AB78:AB80)</f>
        <v>0</v>
      </c>
      <c r="AC77" s="128">
        <f t="shared" si="125"/>
        <v>0</v>
      </c>
      <c r="AD77" s="128">
        <f t="shared" si="125"/>
        <v>0</v>
      </c>
      <c r="AE77" s="128">
        <f t="shared" si="125"/>
        <v>0</v>
      </c>
      <c r="AF77" s="141"/>
      <c r="AG77" s="89">
        <v>3501749.2860000003</v>
      </c>
      <c r="AH77" s="89">
        <f t="shared" ref="AH77:AL77" si="126">+SUM(AH78:AH80)</f>
        <v>0</v>
      </c>
      <c r="AI77" s="89">
        <f t="shared" si="126"/>
        <v>2140542.4699999997</v>
      </c>
      <c r="AJ77" s="89">
        <f t="shared" si="126"/>
        <v>0</v>
      </c>
      <c r="AK77" s="89">
        <f t="shared" si="126"/>
        <v>0</v>
      </c>
      <c r="AL77" s="89">
        <f t="shared" si="126"/>
        <v>0</v>
      </c>
      <c r="AM77" s="89">
        <f>+SUM(AM78:AM80)</f>
        <v>2140542.4699999997</v>
      </c>
      <c r="AN77" s="89">
        <f>+SUM(AN78:AN80)</f>
        <v>0</v>
      </c>
      <c r="AO77" s="89">
        <f>+SUM(AO78:AO80)</f>
        <v>1361206.8160000001</v>
      </c>
      <c r="AP77" s="128">
        <f t="shared" ref="AP77:AS77" si="127">+SUM(AP78:AP80)</f>
        <v>0</v>
      </c>
      <c r="AQ77" s="128">
        <f t="shared" si="127"/>
        <v>0</v>
      </c>
      <c r="AR77" s="128">
        <f t="shared" si="127"/>
        <v>0</v>
      </c>
      <c r="AS77" s="128">
        <f t="shared" si="127"/>
        <v>0</v>
      </c>
      <c r="AT77" s="46"/>
    </row>
    <row r="78" spans="1:46" ht="85.5" x14ac:dyDescent="0.35">
      <c r="B78" s="130" t="s">
        <v>145</v>
      </c>
      <c r="C78" s="130" t="s">
        <v>449</v>
      </c>
      <c r="D78" s="130"/>
      <c r="E78" s="131"/>
      <c r="F78" s="132">
        <v>160681</v>
      </c>
      <c r="G78" s="132">
        <v>153553</v>
      </c>
      <c r="H78" s="132">
        <f>SUM(I78:N78)</f>
        <v>191350.9</v>
      </c>
      <c r="I78" s="139"/>
      <c r="J78" s="139">
        <v>165100</v>
      </c>
      <c r="K78" s="139"/>
      <c r="L78" s="132">
        <f t="shared" ref="L78:L80" si="128">SUM(J78*15.9%)</f>
        <v>26250.9</v>
      </c>
      <c r="M78" s="132"/>
      <c r="N78" s="132"/>
      <c r="O78" s="132">
        <f>SUM(P78:R78)</f>
        <v>191350.9</v>
      </c>
      <c r="P78" s="132">
        <f>SUM(160681+4419)</f>
        <v>165100</v>
      </c>
      <c r="Q78" s="139"/>
      <c r="R78" s="132">
        <v>26250.9</v>
      </c>
      <c r="S78" s="140"/>
      <c r="T78" s="139">
        <v>191350.9</v>
      </c>
      <c r="U78" s="139"/>
      <c r="V78" s="139">
        <v>88355.95</v>
      </c>
      <c r="W78" s="139"/>
      <c r="X78" s="132"/>
      <c r="Y78" s="132"/>
      <c r="Z78" s="132">
        <f t="shared" ref="Z78:Z80" si="129">SUM(U78:Y78)</f>
        <v>88355.95</v>
      </c>
      <c r="AA78" s="132">
        <f t="shared" ref="AA78:AA80" si="130">SUM(T78-Z78)</f>
        <v>102994.95</v>
      </c>
      <c r="AB78" s="132">
        <f>SUM(AC78:AE78)</f>
        <v>0</v>
      </c>
      <c r="AC78" s="132"/>
      <c r="AD78" s="139"/>
      <c r="AE78" s="132"/>
      <c r="AF78" s="140"/>
      <c r="AG78" s="91">
        <v>191350.9</v>
      </c>
      <c r="AH78" s="91"/>
      <c r="AI78" s="91">
        <v>103168.85</v>
      </c>
      <c r="AJ78" s="91"/>
      <c r="AK78" s="90"/>
      <c r="AL78" s="90"/>
      <c r="AM78" s="90">
        <f t="shared" ref="AM78:AM80" si="131">SUM(AH78:AL78)</f>
        <v>103168.85</v>
      </c>
      <c r="AN78" s="90">
        <v>0</v>
      </c>
      <c r="AO78" s="90">
        <f>SUM(AG78-AM78)</f>
        <v>88182.049999999988</v>
      </c>
      <c r="AP78" s="132">
        <f>SUM(AQ78:AS78)</f>
        <v>0</v>
      </c>
      <c r="AQ78" s="132"/>
      <c r="AR78" s="139"/>
      <c r="AS78" s="132"/>
      <c r="AT78" s="48"/>
    </row>
    <row r="79" spans="1:46" ht="114" x14ac:dyDescent="0.35">
      <c r="B79" s="130" t="s">
        <v>148</v>
      </c>
      <c r="C79" s="130" t="s">
        <v>450</v>
      </c>
      <c r="D79" s="130"/>
      <c r="E79" s="131"/>
      <c r="F79" s="132">
        <v>319752</v>
      </c>
      <c r="G79" s="132">
        <v>306589</v>
      </c>
      <c r="H79" s="132">
        <f>SUM(I79:N79)</f>
        <v>380783.65500000003</v>
      </c>
      <c r="I79" s="139"/>
      <c r="J79" s="139">
        <v>328545</v>
      </c>
      <c r="K79" s="139"/>
      <c r="L79" s="132">
        <f t="shared" si="128"/>
        <v>52238.654999999999</v>
      </c>
      <c r="M79" s="132"/>
      <c r="N79" s="132"/>
      <c r="O79" s="132">
        <f>SUM(P79:R79)</f>
        <v>380783.65500000003</v>
      </c>
      <c r="P79" s="132">
        <f>SUM(319752+8793)</f>
        <v>328545</v>
      </c>
      <c r="Q79" s="139"/>
      <c r="R79" s="132">
        <v>52238.654999999999</v>
      </c>
      <c r="S79" s="140"/>
      <c r="T79" s="139">
        <v>380783.65500000003</v>
      </c>
      <c r="U79" s="139"/>
      <c r="V79" s="139">
        <v>198757.22</v>
      </c>
      <c r="W79" s="139"/>
      <c r="X79" s="132"/>
      <c r="Y79" s="132"/>
      <c r="Z79" s="132">
        <f t="shared" si="129"/>
        <v>198757.22</v>
      </c>
      <c r="AA79" s="132">
        <f t="shared" si="130"/>
        <v>182026.43500000003</v>
      </c>
      <c r="AB79" s="132">
        <f>SUM(AC79:AE79)</f>
        <v>0</v>
      </c>
      <c r="AC79" s="132"/>
      <c r="AD79" s="139"/>
      <c r="AE79" s="132"/>
      <c r="AF79" s="140"/>
      <c r="AG79" s="91">
        <v>380783.65500000003</v>
      </c>
      <c r="AH79" s="91"/>
      <c r="AI79" s="91">
        <v>222746.61</v>
      </c>
      <c r="AJ79" s="91"/>
      <c r="AK79" s="90"/>
      <c r="AL79" s="90"/>
      <c r="AM79" s="90">
        <f t="shared" si="131"/>
        <v>222746.61</v>
      </c>
      <c r="AN79" s="90">
        <v>0</v>
      </c>
      <c r="AO79" s="90">
        <f>SUM(AG79-AM79)</f>
        <v>158037.04500000004</v>
      </c>
      <c r="AP79" s="132">
        <f>SUM(AQ79:AS79)</f>
        <v>0</v>
      </c>
      <c r="AQ79" s="132"/>
      <c r="AR79" s="139"/>
      <c r="AS79" s="132"/>
      <c r="AT79" s="48"/>
    </row>
    <row r="80" spans="1:46" ht="199.5" x14ac:dyDescent="0.35">
      <c r="B80" s="130" t="s">
        <v>150</v>
      </c>
      <c r="C80" s="130" t="s">
        <v>451</v>
      </c>
      <c r="D80" s="130"/>
      <c r="E80" s="131"/>
      <c r="F80" s="132">
        <v>2460780</v>
      </c>
      <c r="G80" s="132">
        <v>2251810</v>
      </c>
      <c r="H80" s="132">
        <f>SUM(I80:N80)</f>
        <v>2929614.7310000001</v>
      </c>
      <c r="I80" s="139"/>
      <c r="J80" s="139">
        <v>2527709</v>
      </c>
      <c r="K80" s="139"/>
      <c r="L80" s="132">
        <f t="shared" si="128"/>
        <v>401905.73100000003</v>
      </c>
      <c r="M80" s="132"/>
      <c r="N80" s="132"/>
      <c r="O80" s="132">
        <f>SUM(P80:R80)</f>
        <v>2929614.7310000001</v>
      </c>
      <c r="P80" s="132">
        <f>SUM(2433780+66929)</f>
        <v>2500709</v>
      </c>
      <c r="Q80" s="139">
        <v>27000</v>
      </c>
      <c r="R80" s="132">
        <v>401905.73100000003</v>
      </c>
      <c r="S80" s="140"/>
      <c r="T80" s="139">
        <v>2929614.7310000001</v>
      </c>
      <c r="U80" s="139"/>
      <c r="V80" s="139">
        <v>1155436.21</v>
      </c>
      <c r="W80" s="139"/>
      <c r="X80" s="132"/>
      <c r="Y80" s="132"/>
      <c r="Z80" s="132">
        <f t="shared" si="129"/>
        <v>1155436.21</v>
      </c>
      <c r="AA80" s="132">
        <f t="shared" si="130"/>
        <v>1774178.5210000002</v>
      </c>
      <c r="AB80" s="132">
        <f>SUM(AC80:AE80)</f>
        <v>0</v>
      </c>
      <c r="AC80" s="132"/>
      <c r="AD80" s="139"/>
      <c r="AE80" s="132"/>
      <c r="AF80" s="140"/>
      <c r="AG80" s="91">
        <v>2929614.7310000001</v>
      </c>
      <c r="AH80" s="91"/>
      <c r="AI80" s="91">
        <v>1814627.01</v>
      </c>
      <c r="AJ80" s="91"/>
      <c r="AK80" s="90"/>
      <c r="AL80" s="90"/>
      <c r="AM80" s="90">
        <f t="shared" si="131"/>
        <v>1814627.01</v>
      </c>
      <c r="AN80" s="90">
        <v>0</v>
      </c>
      <c r="AO80" s="90">
        <f>SUM(AG80-AM80)</f>
        <v>1114987.7210000001</v>
      </c>
      <c r="AP80" s="132">
        <f>SUM(AQ80:AS80)</f>
        <v>0</v>
      </c>
      <c r="AQ80" s="132"/>
      <c r="AR80" s="139"/>
      <c r="AS80" s="132"/>
      <c r="AT80" s="45"/>
    </row>
    <row r="81" spans="1:46" ht="28.5" x14ac:dyDescent="0.35">
      <c r="B81" s="161"/>
      <c r="C81" s="161"/>
      <c r="D81" s="161"/>
      <c r="E81" s="136"/>
      <c r="F81" s="125"/>
      <c r="G81" s="125"/>
      <c r="H81" s="125"/>
      <c r="I81" s="125"/>
      <c r="J81" s="125"/>
      <c r="K81" s="125"/>
      <c r="L81" s="125"/>
      <c r="M81" s="125"/>
      <c r="N81" s="125"/>
      <c r="O81" s="125"/>
      <c r="P81" s="125"/>
      <c r="Q81" s="125"/>
      <c r="R81" s="125"/>
      <c r="S81" s="126"/>
      <c r="T81" s="125"/>
      <c r="U81" s="125"/>
      <c r="V81" s="125"/>
      <c r="W81" s="125"/>
      <c r="X81" s="125"/>
      <c r="Y81" s="125"/>
      <c r="Z81" s="125"/>
      <c r="AA81" s="125"/>
      <c r="AB81" s="125"/>
      <c r="AC81" s="125"/>
      <c r="AD81" s="125"/>
      <c r="AE81" s="125"/>
      <c r="AF81" s="126"/>
      <c r="AG81" s="88"/>
      <c r="AH81" s="88"/>
      <c r="AI81" s="88"/>
      <c r="AJ81" s="88"/>
      <c r="AK81" s="88"/>
      <c r="AL81" s="88"/>
      <c r="AM81" s="88"/>
      <c r="AN81" s="88"/>
      <c r="AO81" s="88"/>
      <c r="AP81" s="125"/>
      <c r="AQ81" s="125"/>
      <c r="AR81" s="125"/>
      <c r="AS81" s="125"/>
      <c r="AT81" s="45"/>
    </row>
    <row r="82" spans="1:46" ht="57" x14ac:dyDescent="0.65">
      <c r="A82" s="1">
        <v>2.2999999999999998</v>
      </c>
      <c r="B82" s="170" t="s">
        <v>152</v>
      </c>
      <c r="C82" s="198" t="s">
        <v>436</v>
      </c>
      <c r="D82" s="199"/>
      <c r="E82" s="157"/>
      <c r="F82" s="128">
        <f t="shared" ref="F82:G82" si="132">+SUM(F83:F83)</f>
        <v>12809</v>
      </c>
      <c r="G82" s="128">
        <f t="shared" si="132"/>
        <v>0</v>
      </c>
      <c r="H82" s="128">
        <f>+SUM(H83:H84)</f>
        <v>4146806</v>
      </c>
      <c r="I82" s="128">
        <f t="shared" ref="I82:S82" si="133">+SUM(I83:I84)</f>
        <v>0</v>
      </c>
      <c r="J82" s="128">
        <f t="shared" si="133"/>
        <v>0</v>
      </c>
      <c r="K82" s="128">
        <f t="shared" si="133"/>
        <v>0</v>
      </c>
      <c r="L82" s="128">
        <f t="shared" si="133"/>
        <v>0</v>
      </c>
      <c r="M82" s="128">
        <f t="shared" si="133"/>
        <v>0</v>
      </c>
      <c r="N82" s="128">
        <f>+SUM(N83:N84)</f>
        <v>4146806</v>
      </c>
      <c r="O82" s="128">
        <f t="shared" si="133"/>
        <v>0</v>
      </c>
      <c r="P82" s="128">
        <f t="shared" si="133"/>
        <v>0</v>
      </c>
      <c r="Q82" s="128">
        <f t="shared" si="133"/>
        <v>0</v>
      </c>
      <c r="R82" s="128">
        <f t="shared" si="133"/>
        <v>0</v>
      </c>
      <c r="S82" s="128">
        <f t="shared" si="133"/>
        <v>0</v>
      </c>
      <c r="T82" s="128">
        <v>4146806</v>
      </c>
      <c r="U82" s="128">
        <f t="shared" ref="U82:AF82" si="134">+SUM(U83:U84)</f>
        <v>0</v>
      </c>
      <c r="V82" s="128">
        <f t="shared" si="134"/>
        <v>0</v>
      </c>
      <c r="W82" s="128">
        <f t="shared" si="134"/>
        <v>0</v>
      </c>
      <c r="X82" s="128">
        <f t="shared" si="134"/>
        <v>0</v>
      </c>
      <c r="Y82" s="128">
        <f t="shared" si="134"/>
        <v>1280196.54</v>
      </c>
      <c r="Z82" s="128">
        <f>+SUM(Z83:Z84)</f>
        <v>1280196.54</v>
      </c>
      <c r="AA82" s="128">
        <f>+SUM(AA83:AA84)</f>
        <v>2866609.46</v>
      </c>
      <c r="AB82" s="128">
        <f t="shared" si="134"/>
        <v>0</v>
      </c>
      <c r="AC82" s="128">
        <f t="shared" si="134"/>
        <v>0</v>
      </c>
      <c r="AD82" s="128">
        <f t="shared" si="134"/>
        <v>0</v>
      </c>
      <c r="AE82" s="128">
        <f t="shared" si="134"/>
        <v>0</v>
      </c>
      <c r="AF82" s="128">
        <f t="shared" si="134"/>
        <v>0</v>
      </c>
      <c r="AG82" s="89">
        <v>4146806</v>
      </c>
      <c r="AH82" s="89">
        <f t="shared" ref="AH82:AS82" si="135">+SUM(AH83:AH84)</f>
        <v>0</v>
      </c>
      <c r="AI82" s="89">
        <f t="shared" si="135"/>
        <v>0</v>
      </c>
      <c r="AJ82" s="89">
        <f t="shared" si="135"/>
        <v>0</v>
      </c>
      <c r="AK82" s="89">
        <f t="shared" si="135"/>
        <v>0</v>
      </c>
      <c r="AL82" s="89">
        <f t="shared" si="135"/>
        <v>1981425.35</v>
      </c>
      <c r="AM82" s="89">
        <f t="shared" si="135"/>
        <v>1981425.35</v>
      </c>
      <c r="AN82" s="89">
        <f t="shared" ref="AN82" si="136">+SUM(AN83:AN84)</f>
        <v>0</v>
      </c>
      <c r="AO82" s="89">
        <f t="shared" si="135"/>
        <v>2165380.65</v>
      </c>
      <c r="AP82" s="128">
        <f t="shared" si="135"/>
        <v>0</v>
      </c>
      <c r="AQ82" s="128">
        <f t="shared" si="135"/>
        <v>0</v>
      </c>
      <c r="AR82" s="128">
        <f t="shared" si="135"/>
        <v>0</v>
      </c>
      <c r="AS82" s="128">
        <f t="shared" si="135"/>
        <v>0</v>
      </c>
      <c r="AT82" s="45"/>
    </row>
    <row r="83" spans="1:46" ht="57" x14ac:dyDescent="0.35">
      <c r="B83" s="143" t="s">
        <v>153</v>
      </c>
      <c r="C83" s="143" t="s">
        <v>452</v>
      </c>
      <c r="D83" s="143"/>
      <c r="E83" s="131"/>
      <c r="F83" s="132">
        <v>12809</v>
      </c>
      <c r="G83" s="132">
        <v>0</v>
      </c>
      <c r="H83" s="132">
        <f>SUM(I83:N83)</f>
        <v>0</v>
      </c>
      <c r="I83" s="132"/>
      <c r="J83" s="133"/>
      <c r="K83" s="133"/>
      <c r="L83" s="133"/>
      <c r="M83" s="132"/>
      <c r="N83" s="132"/>
      <c r="O83" s="132"/>
      <c r="P83" s="132"/>
      <c r="Q83" s="132"/>
      <c r="R83" s="132"/>
      <c r="S83" s="134"/>
      <c r="T83" s="132">
        <v>0</v>
      </c>
      <c r="U83" s="132"/>
      <c r="V83" s="132">
        <v>0</v>
      </c>
      <c r="W83" s="132"/>
      <c r="X83" s="132"/>
      <c r="Y83" s="132">
        <v>0</v>
      </c>
      <c r="Z83" s="132">
        <f t="shared" ref="Z83:Z84" si="137">SUM(U83:Y83)</f>
        <v>0</v>
      </c>
      <c r="AA83" s="132">
        <f t="shared" ref="AA83:AA84" si="138">SUM(T83-Z83)</f>
        <v>0</v>
      </c>
      <c r="AB83" s="132"/>
      <c r="AC83" s="132"/>
      <c r="AD83" s="132"/>
      <c r="AE83" s="132"/>
      <c r="AF83" s="134"/>
      <c r="AG83" s="90">
        <v>0</v>
      </c>
      <c r="AH83" s="90"/>
      <c r="AI83" s="90">
        <v>0</v>
      </c>
      <c r="AJ83" s="90"/>
      <c r="AK83" s="90"/>
      <c r="AL83" s="90">
        <v>0</v>
      </c>
      <c r="AM83" s="90">
        <f t="shared" ref="AM83:AM84" si="139">SUM(AH83:AL83)</f>
        <v>0</v>
      </c>
      <c r="AN83" s="90">
        <v>0</v>
      </c>
      <c r="AO83" s="90">
        <f>SUM(AG83-AM83)</f>
        <v>0</v>
      </c>
      <c r="AP83" s="132"/>
      <c r="AQ83" s="132"/>
      <c r="AR83" s="132"/>
      <c r="AS83" s="132"/>
      <c r="AT83" s="45"/>
    </row>
    <row r="84" spans="1:46" ht="114" x14ac:dyDescent="0.35">
      <c r="B84" s="143" t="s">
        <v>156</v>
      </c>
      <c r="C84" s="143" t="s">
        <v>385</v>
      </c>
      <c r="D84" s="143"/>
      <c r="E84" s="131"/>
      <c r="F84" s="132">
        <v>0</v>
      </c>
      <c r="G84" s="132">
        <v>0</v>
      </c>
      <c r="H84" s="132">
        <f>SUM(I84:N84)</f>
        <v>4146806</v>
      </c>
      <c r="I84" s="132"/>
      <c r="J84" s="133"/>
      <c r="K84" s="133"/>
      <c r="L84" s="133"/>
      <c r="M84" s="132"/>
      <c r="N84" s="132">
        <v>4146806</v>
      </c>
      <c r="O84" s="132"/>
      <c r="P84" s="132"/>
      <c r="Q84" s="132"/>
      <c r="R84" s="132"/>
      <c r="S84" s="134"/>
      <c r="T84" s="132">
        <v>4146806</v>
      </c>
      <c r="U84" s="132"/>
      <c r="V84" s="132">
        <v>0</v>
      </c>
      <c r="W84" s="132"/>
      <c r="X84" s="132"/>
      <c r="Y84" s="132">
        <v>1280196.54</v>
      </c>
      <c r="Z84" s="132">
        <f t="shared" si="137"/>
        <v>1280196.54</v>
      </c>
      <c r="AA84" s="132">
        <f t="shared" si="138"/>
        <v>2866609.46</v>
      </c>
      <c r="AB84" s="132"/>
      <c r="AC84" s="132"/>
      <c r="AD84" s="132"/>
      <c r="AE84" s="132"/>
      <c r="AF84" s="134"/>
      <c r="AG84" s="90">
        <v>4146806</v>
      </c>
      <c r="AH84" s="90"/>
      <c r="AI84" s="90">
        <v>0</v>
      </c>
      <c r="AJ84" s="90"/>
      <c r="AK84" s="90"/>
      <c r="AL84" s="90">
        <v>1981425.35</v>
      </c>
      <c r="AM84" s="90">
        <f t="shared" si="139"/>
        <v>1981425.35</v>
      </c>
      <c r="AN84" s="90">
        <v>0</v>
      </c>
      <c r="AO84" s="90">
        <f>SUM(AG84-AM84)</f>
        <v>2165380.65</v>
      </c>
      <c r="AP84" s="132"/>
      <c r="AQ84" s="132"/>
      <c r="AR84" s="132"/>
      <c r="AS84" s="132"/>
      <c r="AT84" s="45"/>
    </row>
    <row r="85" spans="1:46" ht="28.5" x14ac:dyDescent="0.35">
      <c r="B85" s="161"/>
      <c r="C85" s="161"/>
      <c r="D85" s="161"/>
      <c r="E85" s="136"/>
      <c r="F85" s="125"/>
      <c r="G85" s="125"/>
      <c r="H85" s="125"/>
      <c r="I85" s="125"/>
      <c r="J85" s="125"/>
      <c r="K85" s="125"/>
      <c r="L85" s="125"/>
      <c r="M85" s="125"/>
      <c r="N85" s="125"/>
      <c r="O85" s="125"/>
      <c r="P85" s="125"/>
      <c r="Q85" s="125"/>
      <c r="R85" s="125"/>
      <c r="S85" s="126"/>
      <c r="T85" s="125"/>
      <c r="U85" s="125"/>
      <c r="V85" s="125"/>
      <c r="W85" s="125"/>
      <c r="X85" s="125"/>
      <c r="Y85" s="125"/>
      <c r="Z85" s="125"/>
      <c r="AA85" s="125"/>
      <c r="AB85" s="125"/>
      <c r="AC85" s="125"/>
      <c r="AD85" s="125"/>
      <c r="AE85" s="125"/>
      <c r="AF85" s="126"/>
      <c r="AG85" s="88"/>
      <c r="AH85" s="88"/>
      <c r="AI85" s="88"/>
      <c r="AJ85" s="88"/>
      <c r="AK85" s="88"/>
      <c r="AL85" s="88"/>
      <c r="AM85" s="88"/>
      <c r="AN85" s="88"/>
      <c r="AO85" s="88"/>
      <c r="AP85" s="125"/>
      <c r="AQ85" s="125"/>
      <c r="AR85" s="125"/>
      <c r="AS85" s="125"/>
      <c r="AT85" s="45"/>
    </row>
    <row r="86" spans="1:46" ht="57" x14ac:dyDescent="0.65">
      <c r="A86" s="1">
        <v>2.4</v>
      </c>
      <c r="B86" s="170" t="s">
        <v>158</v>
      </c>
      <c r="C86" s="198" t="s">
        <v>436</v>
      </c>
      <c r="D86" s="199"/>
      <c r="E86" s="157"/>
      <c r="F86" s="128">
        <f t="shared" ref="F86:R86" si="140">+SUM(F87:F89)</f>
        <v>8338078</v>
      </c>
      <c r="G86" s="128">
        <f t="shared" si="140"/>
        <v>1845054</v>
      </c>
      <c r="H86" s="128">
        <f>+SUM(H87:H89)</f>
        <v>5361895.608</v>
      </c>
      <c r="I86" s="128">
        <f t="shared" si="140"/>
        <v>0</v>
      </c>
      <c r="J86" s="128">
        <f t="shared" si="140"/>
        <v>4626312</v>
      </c>
      <c r="K86" s="128">
        <f t="shared" si="140"/>
        <v>0</v>
      </c>
      <c r="L86" s="128">
        <f>+SUM(L87:L89)</f>
        <v>735583.60800000001</v>
      </c>
      <c r="M86" s="128">
        <f t="shared" si="140"/>
        <v>0</v>
      </c>
      <c r="N86" s="128">
        <f t="shared" si="140"/>
        <v>0</v>
      </c>
      <c r="O86" s="128">
        <f t="shared" si="140"/>
        <v>5361896</v>
      </c>
      <c r="P86" s="128">
        <f t="shared" si="140"/>
        <v>4626312</v>
      </c>
      <c r="Q86" s="128">
        <f t="shared" ref="Q86" si="141">+SUM(Q87:Q89)</f>
        <v>0</v>
      </c>
      <c r="R86" s="128">
        <f t="shared" si="140"/>
        <v>735584</v>
      </c>
      <c r="S86" s="141"/>
      <c r="T86" s="128">
        <v>5361895.608</v>
      </c>
      <c r="U86" s="128">
        <f t="shared" ref="U86:AE86" si="142">+SUM(U87:U89)</f>
        <v>0</v>
      </c>
      <c r="V86" s="128">
        <f t="shared" si="142"/>
        <v>909104.12</v>
      </c>
      <c r="W86" s="128">
        <f t="shared" si="142"/>
        <v>0</v>
      </c>
      <c r="X86" s="128">
        <f t="shared" si="142"/>
        <v>0</v>
      </c>
      <c r="Y86" s="128">
        <f t="shared" si="142"/>
        <v>0</v>
      </c>
      <c r="Z86" s="128">
        <f>+SUM(Z87:Z89)</f>
        <v>909104.12</v>
      </c>
      <c r="AA86" s="128">
        <f>+SUM(AA87:AA89)</f>
        <v>4452791.4879999999</v>
      </c>
      <c r="AB86" s="128">
        <f t="shared" si="142"/>
        <v>0</v>
      </c>
      <c r="AC86" s="128">
        <f t="shared" si="142"/>
        <v>0</v>
      </c>
      <c r="AD86" s="128">
        <f t="shared" si="142"/>
        <v>0</v>
      </c>
      <c r="AE86" s="128">
        <f t="shared" si="142"/>
        <v>0</v>
      </c>
      <c r="AF86" s="141"/>
      <c r="AG86" s="89">
        <v>5361895.608</v>
      </c>
      <c r="AH86" s="89">
        <f t="shared" ref="AH86:AS86" si="143">+SUM(AH87:AH89)</f>
        <v>0</v>
      </c>
      <c r="AI86" s="89">
        <f t="shared" si="143"/>
        <v>1393165.78</v>
      </c>
      <c r="AJ86" s="89">
        <f t="shared" si="143"/>
        <v>0</v>
      </c>
      <c r="AK86" s="89">
        <f t="shared" si="143"/>
        <v>0</v>
      </c>
      <c r="AL86" s="89">
        <f t="shared" si="143"/>
        <v>0</v>
      </c>
      <c r="AM86" s="89">
        <f t="shared" si="143"/>
        <v>1393165.78</v>
      </c>
      <c r="AN86" s="89">
        <f t="shared" ref="AN86" si="144">+SUM(AN87:AN89)</f>
        <v>0</v>
      </c>
      <c r="AO86" s="89">
        <f t="shared" si="143"/>
        <v>3968729.8279999997</v>
      </c>
      <c r="AP86" s="128">
        <f t="shared" si="143"/>
        <v>0</v>
      </c>
      <c r="AQ86" s="128">
        <f t="shared" si="143"/>
        <v>0</v>
      </c>
      <c r="AR86" s="128">
        <f t="shared" si="143"/>
        <v>0</v>
      </c>
      <c r="AS86" s="128">
        <f t="shared" si="143"/>
        <v>0</v>
      </c>
      <c r="AT86" s="45"/>
    </row>
    <row r="87" spans="1:46" ht="57" x14ac:dyDescent="0.35">
      <c r="B87" s="143" t="s">
        <v>159</v>
      </c>
      <c r="C87" s="143" t="s">
        <v>386</v>
      </c>
      <c r="D87" s="143"/>
      <c r="E87" s="131"/>
      <c r="F87" s="132">
        <f>SUM(347380+939336)</f>
        <v>1286716</v>
      </c>
      <c r="G87" s="132">
        <v>0</v>
      </c>
      <c r="H87" s="132">
        <f>SUM(I87:N87)</f>
        <v>1532322.013</v>
      </c>
      <c r="I87" s="132"/>
      <c r="J87" s="132">
        <v>1322107</v>
      </c>
      <c r="K87" s="132"/>
      <c r="L87" s="132">
        <f t="shared" ref="L87:L89" si="145">SUM(J87*15.9%)</f>
        <v>210215.01300000001</v>
      </c>
      <c r="M87" s="132"/>
      <c r="N87" s="132"/>
      <c r="O87" s="132">
        <f>SUM(P87:R87)</f>
        <v>1532322</v>
      </c>
      <c r="P87" s="132">
        <f>SUM(1286722+35385)</f>
        <v>1322107</v>
      </c>
      <c r="Q87" s="132"/>
      <c r="R87" s="132">
        <v>210215</v>
      </c>
      <c r="S87" s="134"/>
      <c r="T87" s="132">
        <v>1532322.013</v>
      </c>
      <c r="U87" s="132"/>
      <c r="V87" s="132">
        <v>0</v>
      </c>
      <c r="W87" s="132"/>
      <c r="X87" s="132"/>
      <c r="Y87" s="132"/>
      <c r="Z87" s="132">
        <f t="shared" ref="Z87:Z89" si="146">SUM(U87:Y87)</f>
        <v>0</v>
      </c>
      <c r="AA87" s="132">
        <f t="shared" ref="AA87:AA89" si="147">SUM(T87-Z87)</f>
        <v>1532322.013</v>
      </c>
      <c r="AB87" s="132">
        <f>SUM(AC87:AE87)</f>
        <v>0</v>
      </c>
      <c r="AC87" s="132"/>
      <c r="AD87" s="132"/>
      <c r="AE87" s="132"/>
      <c r="AF87" s="134"/>
      <c r="AG87" s="90">
        <v>1532322.013</v>
      </c>
      <c r="AH87" s="90"/>
      <c r="AI87" s="90">
        <v>69.95</v>
      </c>
      <c r="AJ87" s="90"/>
      <c r="AK87" s="90"/>
      <c r="AL87" s="90"/>
      <c r="AM87" s="90">
        <f t="shared" ref="AM87:AM89" si="148">SUM(AH87:AL87)</f>
        <v>69.95</v>
      </c>
      <c r="AN87" s="90">
        <v>0</v>
      </c>
      <c r="AO87" s="90">
        <f>SUM(AG87-AM87)</f>
        <v>1532252.0630000001</v>
      </c>
      <c r="AP87" s="132">
        <f>SUM(AQ87:AS87)</f>
        <v>0</v>
      </c>
      <c r="AQ87" s="132"/>
      <c r="AR87" s="132"/>
      <c r="AS87" s="132"/>
      <c r="AT87" s="45"/>
    </row>
    <row r="88" spans="1:46" ht="114" x14ac:dyDescent="0.35">
      <c r="B88" s="143" t="s">
        <v>156</v>
      </c>
      <c r="C88" s="143" t="s">
        <v>385</v>
      </c>
      <c r="D88" s="143"/>
      <c r="E88" s="131"/>
      <c r="F88" s="132">
        <f>SUM(2654154+4146806)</f>
        <v>6800960</v>
      </c>
      <c r="G88" s="132">
        <f>SUM(602761+1027243)</f>
        <v>1630004</v>
      </c>
      <c r="H88" s="132">
        <f>SUM(I88:N88)</f>
        <v>3531376.8029999998</v>
      </c>
      <c r="I88" s="132"/>
      <c r="J88" s="132">
        <v>3046917</v>
      </c>
      <c r="K88" s="132"/>
      <c r="L88" s="132">
        <f t="shared" si="145"/>
        <v>484459.80300000001</v>
      </c>
      <c r="M88" s="132"/>
      <c r="N88" s="132"/>
      <c r="O88" s="132">
        <f>SUM(P88:R88)</f>
        <v>3531377</v>
      </c>
      <c r="P88" s="132">
        <v>3046917</v>
      </c>
      <c r="Q88" s="132"/>
      <c r="R88" s="132">
        <v>484460</v>
      </c>
      <c r="S88" s="134"/>
      <c r="T88" s="132">
        <v>3531376.8029999998</v>
      </c>
      <c r="U88" s="132"/>
      <c r="V88" s="132">
        <v>773720.46</v>
      </c>
      <c r="W88" s="132"/>
      <c r="X88" s="132"/>
      <c r="Y88" s="132"/>
      <c r="Z88" s="132">
        <f t="shared" si="146"/>
        <v>773720.46</v>
      </c>
      <c r="AA88" s="132">
        <f t="shared" si="147"/>
        <v>2757656.3429999999</v>
      </c>
      <c r="AB88" s="132">
        <f>SUM(AC88:AE88)</f>
        <v>0</v>
      </c>
      <c r="AC88" s="132"/>
      <c r="AD88" s="132"/>
      <c r="AE88" s="132"/>
      <c r="AF88" s="134"/>
      <c r="AG88" s="90">
        <v>3531376.8029999998</v>
      </c>
      <c r="AH88" s="90"/>
      <c r="AI88" s="90">
        <v>1190463.8400000001</v>
      </c>
      <c r="AJ88" s="90"/>
      <c r="AK88" s="90"/>
      <c r="AL88" s="90"/>
      <c r="AM88" s="90">
        <f t="shared" si="148"/>
        <v>1190463.8400000001</v>
      </c>
      <c r="AN88" s="90">
        <v>0</v>
      </c>
      <c r="AO88" s="90">
        <f>SUM(AG88-AM88)</f>
        <v>2340912.9629999995</v>
      </c>
      <c r="AP88" s="132">
        <f>SUM(AQ88:AS88)</f>
        <v>0</v>
      </c>
      <c r="AQ88" s="132"/>
      <c r="AR88" s="132"/>
      <c r="AS88" s="132"/>
      <c r="AT88" s="45"/>
    </row>
    <row r="89" spans="1:46" ht="127.5" customHeight="1" x14ac:dyDescent="0.35">
      <c r="B89" s="143" t="s">
        <v>162</v>
      </c>
      <c r="C89" s="143" t="s">
        <v>387</v>
      </c>
      <c r="D89" s="143"/>
      <c r="E89" s="131"/>
      <c r="F89" s="132">
        <v>250402</v>
      </c>
      <c r="G89" s="132">
        <v>215050</v>
      </c>
      <c r="H89" s="132">
        <f>SUM(I89:N89)</f>
        <v>298196.79200000002</v>
      </c>
      <c r="I89" s="132"/>
      <c r="J89" s="132">
        <v>257288</v>
      </c>
      <c r="K89" s="132"/>
      <c r="L89" s="132">
        <f t="shared" si="145"/>
        <v>40908.792000000001</v>
      </c>
      <c r="M89" s="132"/>
      <c r="N89" s="132"/>
      <c r="O89" s="132">
        <f>SUM(P89:R89)</f>
        <v>298197</v>
      </c>
      <c r="P89" s="132">
        <f>SUM(250402+6886)</f>
        <v>257288</v>
      </c>
      <c r="Q89" s="132"/>
      <c r="R89" s="132">
        <v>40909</v>
      </c>
      <c r="S89" s="134"/>
      <c r="T89" s="132">
        <v>298196.79200000002</v>
      </c>
      <c r="U89" s="132"/>
      <c r="V89" s="132">
        <v>135383.66</v>
      </c>
      <c r="W89" s="132"/>
      <c r="X89" s="132"/>
      <c r="Y89" s="132"/>
      <c r="Z89" s="132">
        <f t="shared" si="146"/>
        <v>135383.66</v>
      </c>
      <c r="AA89" s="132">
        <f t="shared" si="147"/>
        <v>162813.13200000001</v>
      </c>
      <c r="AB89" s="132">
        <f>SUM(AC89:AE89)</f>
        <v>0</v>
      </c>
      <c r="AC89" s="132"/>
      <c r="AD89" s="132"/>
      <c r="AE89" s="132"/>
      <c r="AF89" s="134"/>
      <c r="AG89" s="90">
        <v>298196.79200000002</v>
      </c>
      <c r="AH89" s="90"/>
      <c r="AI89" s="90">
        <v>202631.99</v>
      </c>
      <c r="AJ89" s="90"/>
      <c r="AK89" s="90"/>
      <c r="AL89" s="90"/>
      <c r="AM89" s="90">
        <f t="shared" si="148"/>
        <v>202631.99</v>
      </c>
      <c r="AN89" s="90">
        <v>0</v>
      </c>
      <c r="AO89" s="90">
        <f>SUM(AG89-AM89)</f>
        <v>95564.802000000025</v>
      </c>
      <c r="AP89" s="132">
        <f>SUM(AQ89:AS89)</f>
        <v>0</v>
      </c>
      <c r="AQ89" s="132"/>
      <c r="AR89" s="132"/>
      <c r="AS89" s="132"/>
      <c r="AT89" s="45"/>
    </row>
    <row r="90" spans="1:46" ht="28.5" x14ac:dyDescent="0.35">
      <c r="B90" s="161"/>
      <c r="C90" s="161"/>
      <c r="D90" s="161"/>
      <c r="E90" s="136"/>
      <c r="F90" s="125"/>
      <c r="G90" s="125"/>
      <c r="H90" s="125"/>
      <c r="I90" s="125"/>
      <c r="J90" s="125"/>
      <c r="K90" s="125"/>
      <c r="L90" s="125"/>
      <c r="M90" s="125"/>
      <c r="N90" s="125"/>
      <c r="O90" s="125"/>
      <c r="P90" s="125"/>
      <c r="Q90" s="125"/>
      <c r="R90" s="125"/>
      <c r="S90" s="126"/>
      <c r="T90" s="125"/>
      <c r="U90" s="125"/>
      <c r="V90" s="125"/>
      <c r="W90" s="125"/>
      <c r="X90" s="125"/>
      <c r="Y90" s="125"/>
      <c r="Z90" s="125"/>
      <c r="AA90" s="125"/>
      <c r="AB90" s="125"/>
      <c r="AC90" s="125"/>
      <c r="AD90" s="125"/>
      <c r="AE90" s="125"/>
      <c r="AF90" s="126"/>
      <c r="AG90" s="88"/>
      <c r="AH90" s="88"/>
      <c r="AI90" s="88"/>
      <c r="AJ90" s="88"/>
      <c r="AK90" s="88"/>
      <c r="AL90" s="88"/>
      <c r="AM90" s="88"/>
      <c r="AN90" s="88"/>
      <c r="AO90" s="88"/>
      <c r="AP90" s="125"/>
      <c r="AQ90" s="125"/>
      <c r="AR90" s="125"/>
      <c r="AS90" s="125"/>
      <c r="AT90" s="45"/>
    </row>
    <row r="91" spans="1:46" ht="66" customHeight="1" x14ac:dyDescent="0.65">
      <c r="A91" s="1">
        <v>2.5</v>
      </c>
      <c r="B91" s="170" t="s">
        <v>164</v>
      </c>
      <c r="C91" s="198" t="s">
        <v>437</v>
      </c>
      <c r="D91" s="199"/>
      <c r="E91" s="127"/>
      <c r="F91" s="128">
        <f t="shared" ref="F91:R91" si="149">+SUM(F92:F92)</f>
        <v>447345</v>
      </c>
      <c r="G91" s="128">
        <f t="shared" si="149"/>
        <v>461695</v>
      </c>
      <c r="H91" s="128">
        <f>+SUM(H92:H92)</f>
        <v>447345</v>
      </c>
      <c r="I91" s="128">
        <f t="shared" si="149"/>
        <v>447345</v>
      </c>
      <c r="J91" s="128">
        <f t="shared" si="149"/>
        <v>0</v>
      </c>
      <c r="K91" s="128">
        <f t="shared" si="149"/>
        <v>0</v>
      </c>
      <c r="L91" s="128">
        <f t="shared" si="149"/>
        <v>0</v>
      </c>
      <c r="M91" s="128">
        <f t="shared" si="149"/>
        <v>0</v>
      </c>
      <c r="N91" s="128">
        <f t="shared" si="149"/>
        <v>0</v>
      </c>
      <c r="O91" s="128">
        <f t="shared" si="149"/>
        <v>0</v>
      </c>
      <c r="P91" s="128">
        <f t="shared" si="149"/>
        <v>0</v>
      </c>
      <c r="Q91" s="128">
        <f t="shared" si="149"/>
        <v>0</v>
      </c>
      <c r="R91" s="128">
        <f t="shared" si="149"/>
        <v>0</v>
      </c>
      <c r="S91" s="141"/>
      <c r="T91" s="128">
        <v>447345</v>
      </c>
      <c r="U91" s="128">
        <f t="shared" ref="U91:Y91" si="150">+SUM(U92:U92)</f>
        <v>0</v>
      </c>
      <c r="V91" s="128">
        <f t="shared" si="150"/>
        <v>0</v>
      </c>
      <c r="W91" s="128">
        <f t="shared" si="150"/>
        <v>0</v>
      </c>
      <c r="X91" s="128">
        <f t="shared" si="150"/>
        <v>0</v>
      </c>
      <c r="Y91" s="128">
        <f t="shared" si="150"/>
        <v>232057.36</v>
      </c>
      <c r="Z91" s="128">
        <f>+SUM(Z92:Z92)</f>
        <v>232057.36</v>
      </c>
      <c r="AA91" s="128">
        <f>+SUM(AA92:AA92)</f>
        <v>215287.64</v>
      </c>
      <c r="AB91" s="128">
        <f t="shared" ref="AB91:AE91" si="151">+SUM(AB92:AB92)</f>
        <v>0</v>
      </c>
      <c r="AC91" s="128">
        <f t="shared" si="151"/>
        <v>0</v>
      </c>
      <c r="AD91" s="128">
        <f t="shared" si="151"/>
        <v>0</v>
      </c>
      <c r="AE91" s="128">
        <f t="shared" si="151"/>
        <v>0</v>
      </c>
      <c r="AF91" s="141"/>
      <c r="AG91" s="89">
        <v>447345</v>
      </c>
      <c r="AH91" s="89">
        <f t="shared" ref="AH91:AS91" si="152">+SUM(AH92:AH92)</f>
        <v>0</v>
      </c>
      <c r="AI91" s="89">
        <f t="shared" si="152"/>
        <v>0</v>
      </c>
      <c r="AJ91" s="89">
        <f t="shared" si="152"/>
        <v>0</v>
      </c>
      <c r="AK91" s="89">
        <f t="shared" si="152"/>
        <v>0</v>
      </c>
      <c r="AL91" s="89">
        <f t="shared" si="152"/>
        <v>422360.6</v>
      </c>
      <c r="AM91" s="89">
        <f t="shared" si="152"/>
        <v>422360.6</v>
      </c>
      <c r="AN91" s="89">
        <f t="shared" si="152"/>
        <v>0</v>
      </c>
      <c r="AO91" s="89">
        <f t="shared" si="152"/>
        <v>24984.400000000023</v>
      </c>
      <c r="AP91" s="128">
        <f t="shared" si="152"/>
        <v>0</v>
      </c>
      <c r="AQ91" s="128">
        <f t="shared" si="152"/>
        <v>0</v>
      </c>
      <c r="AR91" s="128">
        <f t="shared" si="152"/>
        <v>0</v>
      </c>
      <c r="AS91" s="128">
        <f t="shared" si="152"/>
        <v>0</v>
      </c>
      <c r="AT91" s="45"/>
    </row>
    <row r="92" spans="1:46" ht="85.5" x14ac:dyDescent="0.35">
      <c r="B92" s="158" t="s">
        <v>165</v>
      </c>
      <c r="C92" s="158" t="s">
        <v>388</v>
      </c>
      <c r="D92" s="158"/>
      <c r="E92" s="131"/>
      <c r="F92" s="132">
        <v>447345</v>
      </c>
      <c r="G92" s="132">
        <v>461695</v>
      </c>
      <c r="H92" s="132">
        <f>SUM(I92:N92)</f>
        <v>447345</v>
      </c>
      <c r="I92" s="132">
        <v>447345</v>
      </c>
      <c r="J92" s="133"/>
      <c r="K92" s="133"/>
      <c r="L92" s="133"/>
      <c r="M92" s="132"/>
      <c r="N92" s="132"/>
      <c r="O92" s="132"/>
      <c r="P92" s="132"/>
      <c r="Q92" s="132"/>
      <c r="R92" s="132"/>
      <c r="S92" s="134"/>
      <c r="T92" s="132">
        <v>447345</v>
      </c>
      <c r="U92" s="132"/>
      <c r="V92" s="132">
        <v>0</v>
      </c>
      <c r="W92" s="132">
        <v>0</v>
      </c>
      <c r="X92" s="132">
        <v>0</v>
      </c>
      <c r="Y92" s="132">
        <v>232057.36</v>
      </c>
      <c r="Z92" s="132">
        <f t="shared" ref="Z92" si="153">SUM(U92:Y92)</f>
        <v>232057.36</v>
      </c>
      <c r="AA92" s="132">
        <f t="shared" ref="AA92" si="154">SUM(T92-Z92)</f>
        <v>215287.64</v>
      </c>
      <c r="AB92" s="132"/>
      <c r="AC92" s="132"/>
      <c r="AD92" s="132"/>
      <c r="AE92" s="132"/>
      <c r="AF92" s="134"/>
      <c r="AG92" s="90">
        <v>447345</v>
      </c>
      <c r="AH92" s="90"/>
      <c r="AI92" s="90">
        <v>0</v>
      </c>
      <c r="AJ92" s="90">
        <v>0</v>
      </c>
      <c r="AK92" s="90">
        <v>0</v>
      </c>
      <c r="AL92" s="90">
        <v>422360.6</v>
      </c>
      <c r="AM92" s="90">
        <f t="shared" ref="AM92" si="155">SUM(AH92:AL92)</f>
        <v>422360.6</v>
      </c>
      <c r="AN92" s="90">
        <v>0</v>
      </c>
      <c r="AO92" s="90">
        <f>SUM(AG92-AM92)</f>
        <v>24984.400000000023</v>
      </c>
      <c r="AP92" s="132"/>
      <c r="AQ92" s="132"/>
      <c r="AR92" s="132"/>
      <c r="AS92" s="132"/>
      <c r="AT92" s="45"/>
    </row>
    <row r="93" spans="1:46" ht="28.5" x14ac:dyDescent="0.35">
      <c r="B93" s="161"/>
      <c r="C93" s="161"/>
      <c r="D93" s="161"/>
      <c r="E93" s="136"/>
      <c r="F93" s="125"/>
      <c r="G93" s="125"/>
      <c r="H93" s="125"/>
      <c r="I93" s="125"/>
      <c r="J93" s="125"/>
      <c r="K93" s="125"/>
      <c r="L93" s="125"/>
      <c r="M93" s="125"/>
      <c r="N93" s="125"/>
      <c r="O93" s="125"/>
      <c r="P93" s="125"/>
      <c r="Q93" s="125"/>
      <c r="R93" s="125"/>
      <c r="S93" s="126"/>
      <c r="T93" s="125"/>
      <c r="U93" s="125"/>
      <c r="V93" s="125"/>
      <c r="W93" s="125"/>
      <c r="X93" s="125"/>
      <c r="Y93" s="125"/>
      <c r="Z93" s="125"/>
      <c r="AA93" s="125"/>
      <c r="AB93" s="125"/>
      <c r="AC93" s="125"/>
      <c r="AD93" s="125"/>
      <c r="AE93" s="125"/>
      <c r="AF93" s="126"/>
      <c r="AG93" s="88"/>
      <c r="AH93" s="88"/>
      <c r="AI93" s="88"/>
      <c r="AJ93" s="88"/>
      <c r="AK93" s="88"/>
      <c r="AL93" s="88"/>
      <c r="AM93" s="88"/>
      <c r="AN93" s="88"/>
      <c r="AO93" s="88"/>
      <c r="AP93" s="125"/>
      <c r="AQ93" s="125"/>
      <c r="AR93" s="125"/>
      <c r="AS93" s="125"/>
      <c r="AT93" s="45"/>
    </row>
    <row r="94" spans="1:46" ht="57" x14ac:dyDescent="0.65">
      <c r="A94" s="1">
        <v>2.6</v>
      </c>
      <c r="B94" s="170" t="s">
        <v>168</v>
      </c>
      <c r="C94" s="198" t="s">
        <v>437</v>
      </c>
      <c r="D94" s="199"/>
      <c r="E94" s="127"/>
      <c r="F94" s="128">
        <f t="shared" ref="F94:R94" si="156">+SUM(F95:F96)</f>
        <v>2066269</v>
      </c>
      <c r="G94" s="128">
        <f t="shared" si="156"/>
        <v>1752429</v>
      </c>
      <c r="H94" s="128">
        <f>+SUM(H95:H96)</f>
        <v>2455462.0359999998</v>
      </c>
      <c r="I94" s="128">
        <f t="shared" si="156"/>
        <v>0</v>
      </c>
      <c r="J94" s="128">
        <f t="shared" si="156"/>
        <v>2118604</v>
      </c>
      <c r="K94" s="128">
        <f t="shared" si="156"/>
        <v>0</v>
      </c>
      <c r="L94" s="128">
        <f>+SUM(L95:L96)</f>
        <v>336858.03600000002</v>
      </c>
      <c r="M94" s="128">
        <f t="shared" si="156"/>
        <v>0</v>
      </c>
      <c r="N94" s="128">
        <f t="shared" si="156"/>
        <v>0</v>
      </c>
      <c r="O94" s="128">
        <f>+SUM(O95:O96)</f>
        <v>2455462</v>
      </c>
      <c r="P94" s="128">
        <f t="shared" si="156"/>
        <v>1955409</v>
      </c>
      <c r="Q94" s="128">
        <f t="shared" ref="Q94" si="157">+SUM(Q95:Q96)</f>
        <v>163195</v>
      </c>
      <c r="R94" s="128">
        <f t="shared" si="156"/>
        <v>336858</v>
      </c>
      <c r="S94" s="141"/>
      <c r="T94" s="128">
        <v>2455462.0359999998</v>
      </c>
      <c r="U94" s="128">
        <f t="shared" ref="U94:Y94" si="158">+SUM(U95:U96)</f>
        <v>0</v>
      </c>
      <c r="V94" s="128">
        <f t="shared" si="158"/>
        <v>0</v>
      </c>
      <c r="W94" s="128">
        <f t="shared" si="158"/>
        <v>0</v>
      </c>
      <c r="X94" s="128">
        <f t="shared" si="158"/>
        <v>0</v>
      </c>
      <c r="Y94" s="128">
        <f t="shared" si="158"/>
        <v>0</v>
      </c>
      <c r="Z94" s="128">
        <f>+SUM(Z95:Z96)</f>
        <v>0</v>
      </c>
      <c r="AA94" s="128">
        <f>+SUM(AA95:AA96)</f>
        <v>2455462.0359999998</v>
      </c>
      <c r="AB94" s="128">
        <f>+SUM(AB95:AB96)</f>
        <v>0</v>
      </c>
      <c r="AC94" s="128">
        <f t="shared" ref="AC94:AE94" si="159">+SUM(AC95:AC96)</f>
        <v>0</v>
      </c>
      <c r="AD94" s="128">
        <f t="shared" si="159"/>
        <v>0</v>
      </c>
      <c r="AE94" s="128">
        <f t="shared" si="159"/>
        <v>0</v>
      </c>
      <c r="AF94" s="141"/>
      <c r="AG94" s="89">
        <v>2455462.0359999998</v>
      </c>
      <c r="AH94" s="89">
        <f t="shared" ref="AH94:AS94" si="160">+SUM(AH95:AH96)</f>
        <v>0</v>
      </c>
      <c r="AI94" s="89">
        <f t="shared" si="160"/>
        <v>1526082.61</v>
      </c>
      <c r="AJ94" s="89">
        <f t="shared" si="160"/>
        <v>0</v>
      </c>
      <c r="AK94" s="89">
        <f t="shared" si="160"/>
        <v>0</v>
      </c>
      <c r="AL94" s="89">
        <f t="shared" si="160"/>
        <v>0</v>
      </c>
      <c r="AM94" s="89">
        <f t="shared" si="160"/>
        <v>1526082.61</v>
      </c>
      <c r="AN94" s="89">
        <f t="shared" ref="AN94" si="161">+SUM(AN95:AN96)</f>
        <v>0</v>
      </c>
      <c r="AO94" s="89">
        <f t="shared" si="160"/>
        <v>929379.42599999974</v>
      </c>
      <c r="AP94" s="128">
        <f t="shared" si="160"/>
        <v>0</v>
      </c>
      <c r="AQ94" s="128">
        <f t="shared" si="160"/>
        <v>0</v>
      </c>
      <c r="AR94" s="128">
        <f t="shared" si="160"/>
        <v>0</v>
      </c>
      <c r="AS94" s="128">
        <f t="shared" si="160"/>
        <v>0</v>
      </c>
      <c r="AT94" s="45"/>
    </row>
    <row r="95" spans="1:46" ht="57" x14ac:dyDescent="0.35">
      <c r="B95" s="158" t="s">
        <v>169</v>
      </c>
      <c r="C95" s="158" t="s">
        <v>389</v>
      </c>
      <c r="D95" s="158"/>
      <c r="E95" s="131"/>
      <c r="F95" s="132">
        <f>SUM(744285+148129+14300)</f>
        <v>906714</v>
      </c>
      <c r="G95" s="132">
        <f>SUM(560142+138005+7269)</f>
        <v>705416</v>
      </c>
      <c r="H95" s="132">
        <f>SUM(I95:N95)</f>
        <v>1074579.5989999999</v>
      </c>
      <c r="I95" s="132"/>
      <c r="J95" s="132">
        <v>927161</v>
      </c>
      <c r="K95" s="132"/>
      <c r="L95" s="132">
        <f t="shared" ref="L95:L96" si="162">SUM(J95*15.9%)</f>
        <v>147418.59900000002</v>
      </c>
      <c r="M95" s="132"/>
      <c r="N95" s="132"/>
      <c r="O95" s="132">
        <f>SUM(P95:R95)</f>
        <v>1074580</v>
      </c>
      <c r="P95" s="132">
        <f>SUM(743519+20447)</f>
        <v>763966</v>
      </c>
      <c r="Q95" s="132">
        <v>163195</v>
      </c>
      <c r="R95" s="132">
        <v>147419</v>
      </c>
      <c r="S95" s="134"/>
      <c r="T95" s="132">
        <v>1074579.5989999999</v>
      </c>
      <c r="U95" s="132"/>
      <c r="V95" s="132"/>
      <c r="W95" s="132"/>
      <c r="X95" s="132"/>
      <c r="Y95" s="132"/>
      <c r="Z95" s="132">
        <f t="shared" ref="Z95:Z96" si="163">SUM(U95:Y95)</f>
        <v>0</v>
      </c>
      <c r="AA95" s="132">
        <f t="shared" ref="AA95:AA96" si="164">SUM(T95-Z95)</f>
        <v>1074579.5989999999</v>
      </c>
      <c r="AB95" s="132">
        <f>SUM(AC95:AE95)</f>
        <v>0</v>
      </c>
      <c r="AC95" s="132"/>
      <c r="AD95" s="132"/>
      <c r="AE95" s="132"/>
      <c r="AF95" s="134"/>
      <c r="AG95" s="90">
        <v>1074579.5989999999</v>
      </c>
      <c r="AH95" s="90"/>
      <c r="AI95" s="90">
        <v>645918.18000000005</v>
      </c>
      <c r="AJ95" s="90"/>
      <c r="AK95" s="90"/>
      <c r="AL95" s="90"/>
      <c r="AM95" s="90">
        <f t="shared" ref="AM95:AM96" si="165">SUM(AH95:AL95)</f>
        <v>645918.18000000005</v>
      </c>
      <c r="AN95" s="90">
        <v>0</v>
      </c>
      <c r="AO95" s="90">
        <f>SUM(AG95-AM95)</f>
        <v>428661.41899999988</v>
      </c>
      <c r="AP95" s="132">
        <f>SUM(AQ95:AS95)</f>
        <v>0</v>
      </c>
      <c r="AQ95" s="132"/>
      <c r="AR95" s="132"/>
      <c r="AS95" s="132"/>
      <c r="AT95" s="45"/>
    </row>
    <row r="96" spans="1:46" ht="280.5" customHeight="1" x14ac:dyDescent="0.35">
      <c r="B96" s="158" t="s">
        <v>172</v>
      </c>
      <c r="C96" s="158" t="s">
        <v>390</v>
      </c>
      <c r="D96" s="158"/>
      <c r="E96" s="131"/>
      <c r="F96" s="132">
        <v>1159555</v>
      </c>
      <c r="G96" s="132">
        <v>1047013</v>
      </c>
      <c r="H96" s="132">
        <f>SUM(I96:N96)</f>
        <v>1380882.4369999999</v>
      </c>
      <c r="I96" s="132"/>
      <c r="J96" s="132">
        <v>1191443</v>
      </c>
      <c r="K96" s="132"/>
      <c r="L96" s="132">
        <f t="shared" si="162"/>
        <v>189439.43700000001</v>
      </c>
      <c r="M96" s="132"/>
      <c r="N96" s="132"/>
      <c r="O96" s="132">
        <f>SUM(P96:R96)</f>
        <v>1380882</v>
      </c>
      <c r="P96" s="132">
        <f>SUM(1159555+31888)</f>
        <v>1191443</v>
      </c>
      <c r="Q96" s="132"/>
      <c r="R96" s="132">
        <v>189439</v>
      </c>
      <c r="S96" s="134"/>
      <c r="T96" s="132">
        <v>1380882.4369999999</v>
      </c>
      <c r="U96" s="132"/>
      <c r="V96" s="132">
        <v>0</v>
      </c>
      <c r="W96" s="132"/>
      <c r="X96" s="132"/>
      <c r="Y96" s="132"/>
      <c r="Z96" s="132">
        <f t="shared" si="163"/>
        <v>0</v>
      </c>
      <c r="AA96" s="132">
        <f t="shared" si="164"/>
        <v>1380882.4369999999</v>
      </c>
      <c r="AB96" s="132">
        <f>SUM(AC96:AE96)</f>
        <v>0</v>
      </c>
      <c r="AC96" s="132"/>
      <c r="AD96" s="132"/>
      <c r="AE96" s="132"/>
      <c r="AF96" s="134"/>
      <c r="AG96" s="90">
        <v>1380882.4369999999</v>
      </c>
      <c r="AH96" s="90"/>
      <c r="AI96" s="90">
        <v>880164.43</v>
      </c>
      <c r="AJ96" s="90"/>
      <c r="AK96" s="90"/>
      <c r="AL96" s="90"/>
      <c r="AM96" s="90">
        <f t="shared" si="165"/>
        <v>880164.43</v>
      </c>
      <c r="AN96" s="90">
        <v>0</v>
      </c>
      <c r="AO96" s="90">
        <f>SUM(AG96-AM96)</f>
        <v>500718.00699999987</v>
      </c>
      <c r="AP96" s="132">
        <f>SUM(AQ96:AS96)</f>
        <v>0</v>
      </c>
      <c r="AQ96" s="132"/>
      <c r="AR96" s="132"/>
      <c r="AS96" s="132"/>
      <c r="AT96" s="45"/>
    </row>
    <row r="97" spans="1:46" ht="28.5" x14ac:dyDescent="0.35">
      <c r="B97" s="161"/>
      <c r="C97" s="161"/>
      <c r="D97" s="161"/>
      <c r="E97" s="136"/>
      <c r="F97" s="125"/>
      <c r="G97" s="125"/>
      <c r="H97" s="125"/>
      <c r="I97" s="125"/>
      <c r="J97" s="125"/>
      <c r="K97" s="125"/>
      <c r="L97" s="125"/>
      <c r="M97" s="125"/>
      <c r="N97" s="125"/>
      <c r="O97" s="125"/>
      <c r="P97" s="125"/>
      <c r="Q97" s="125"/>
      <c r="R97" s="125"/>
      <c r="S97" s="126"/>
      <c r="T97" s="125"/>
      <c r="U97" s="125"/>
      <c r="V97" s="125"/>
      <c r="W97" s="125"/>
      <c r="X97" s="125"/>
      <c r="Y97" s="125"/>
      <c r="Z97" s="125"/>
      <c r="AA97" s="125"/>
      <c r="AB97" s="125"/>
      <c r="AC97" s="125"/>
      <c r="AD97" s="125"/>
      <c r="AE97" s="125"/>
      <c r="AF97" s="126"/>
      <c r="AG97" s="88"/>
      <c r="AH97" s="88"/>
      <c r="AI97" s="88"/>
      <c r="AJ97" s="88"/>
      <c r="AK97" s="88"/>
      <c r="AL97" s="88"/>
      <c r="AM97" s="88"/>
      <c r="AN97" s="88"/>
      <c r="AO97" s="88"/>
      <c r="AP97" s="125"/>
      <c r="AQ97" s="125"/>
      <c r="AR97" s="125"/>
      <c r="AS97" s="125"/>
      <c r="AT97" s="45"/>
    </row>
    <row r="98" spans="1:46" ht="57" x14ac:dyDescent="0.65">
      <c r="A98" s="1">
        <v>2.7</v>
      </c>
      <c r="B98" s="170" t="s">
        <v>174</v>
      </c>
      <c r="C98" s="198" t="s">
        <v>434</v>
      </c>
      <c r="D98" s="199"/>
      <c r="E98" s="127"/>
      <c r="F98" s="128">
        <f t="shared" ref="F98:S98" si="166">+SUM(F99:F108)</f>
        <v>20322478</v>
      </c>
      <c r="G98" s="128">
        <f t="shared" si="166"/>
        <v>18024086</v>
      </c>
      <c r="H98" s="128">
        <f>+SUM(H99:H108)</f>
        <v>25097491.071999997</v>
      </c>
      <c r="I98" s="128">
        <f t="shared" si="166"/>
        <v>0</v>
      </c>
      <c r="J98" s="128">
        <f>+SUM(J99:J108)</f>
        <v>20910208</v>
      </c>
      <c r="K98" s="128">
        <f t="shared" si="166"/>
        <v>862560</v>
      </c>
      <c r="L98" s="128">
        <f>+SUM(L99:L108)</f>
        <v>3324723.0719999997</v>
      </c>
      <c r="M98" s="128">
        <f t="shared" si="166"/>
        <v>0</v>
      </c>
      <c r="N98" s="128">
        <f t="shared" si="166"/>
        <v>0</v>
      </c>
      <c r="O98" s="128">
        <f>+SUM(O99:O108)</f>
        <v>25097491.071999997</v>
      </c>
      <c r="P98" s="128">
        <f>+SUM(P99:P108)</f>
        <v>21172768</v>
      </c>
      <c r="Q98" s="128">
        <f>+SUM(Q99:Q108)</f>
        <v>600000</v>
      </c>
      <c r="R98" s="128">
        <f>+SUM(R99:R108)</f>
        <v>3324723.0719999997</v>
      </c>
      <c r="S98" s="128">
        <f t="shared" si="166"/>
        <v>0</v>
      </c>
      <c r="T98" s="128">
        <v>25097491.071999997</v>
      </c>
      <c r="U98" s="128">
        <f t="shared" ref="U98:AF98" si="167">+SUM(U99:U108)</f>
        <v>0</v>
      </c>
      <c r="V98" s="128">
        <f t="shared" si="167"/>
        <v>10465477.640000001</v>
      </c>
      <c r="W98" s="128">
        <f t="shared" si="167"/>
        <v>75998.210000000006</v>
      </c>
      <c r="X98" s="128">
        <f t="shared" si="167"/>
        <v>0</v>
      </c>
      <c r="Y98" s="128">
        <f t="shared" si="167"/>
        <v>0</v>
      </c>
      <c r="Z98" s="128">
        <f t="shared" si="167"/>
        <v>10541475.850000001</v>
      </c>
      <c r="AA98" s="128">
        <f t="shared" si="167"/>
        <v>14556015.221999997</v>
      </c>
      <c r="AB98" s="128">
        <f t="shared" si="167"/>
        <v>0</v>
      </c>
      <c r="AC98" s="128">
        <f t="shared" si="167"/>
        <v>0</v>
      </c>
      <c r="AD98" s="128">
        <f t="shared" si="167"/>
        <v>0</v>
      </c>
      <c r="AE98" s="128">
        <f t="shared" si="167"/>
        <v>0</v>
      </c>
      <c r="AF98" s="128">
        <f t="shared" si="167"/>
        <v>0</v>
      </c>
      <c r="AG98" s="89">
        <v>25097491.071999997</v>
      </c>
      <c r="AH98" s="89">
        <f t="shared" ref="AH98:AS98" si="168">+SUM(AH99:AH108)</f>
        <v>0</v>
      </c>
      <c r="AI98" s="89">
        <f t="shared" si="168"/>
        <v>15700533.9</v>
      </c>
      <c r="AJ98" s="89">
        <f t="shared" si="168"/>
        <v>120647.13</v>
      </c>
      <c r="AK98" s="89">
        <f t="shared" si="168"/>
        <v>0</v>
      </c>
      <c r="AL98" s="89">
        <f t="shared" si="168"/>
        <v>0</v>
      </c>
      <c r="AM98" s="89">
        <f t="shared" si="168"/>
        <v>15821181.030000001</v>
      </c>
      <c r="AN98" s="89">
        <f t="shared" ref="AN98" si="169">+SUM(AN99:AN108)</f>
        <v>0</v>
      </c>
      <c r="AO98" s="89">
        <f t="shared" si="168"/>
        <v>9276310.0419999994</v>
      </c>
      <c r="AP98" s="128">
        <f t="shared" si="168"/>
        <v>0</v>
      </c>
      <c r="AQ98" s="128">
        <f t="shared" si="168"/>
        <v>0</v>
      </c>
      <c r="AR98" s="128">
        <f t="shared" si="168"/>
        <v>0</v>
      </c>
      <c r="AS98" s="128">
        <f t="shared" si="168"/>
        <v>0</v>
      </c>
      <c r="AT98" s="45"/>
    </row>
    <row r="99" spans="1:46" ht="409.5" x14ac:dyDescent="0.35">
      <c r="B99" s="130" t="s">
        <v>175</v>
      </c>
      <c r="C99" s="130" t="s">
        <v>367</v>
      </c>
      <c r="D99" s="130"/>
      <c r="E99" s="131"/>
      <c r="F99" s="147">
        <v>1329274</v>
      </c>
      <c r="G99" s="147">
        <v>1355152</v>
      </c>
      <c r="H99" s="132">
        <f t="shared" ref="H99:H108" si="170">SUM(I99:N99)</f>
        <v>1613813.621</v>
      </c>
      <c r="I99" s="139"/>
      <c r="J99" s="139">
        <v>1392419</v>
      </c>
      <c r="K99" s="139"/>
      <c r="L99" s="132">
        <f t="shared" ref="L99:L108" si="171">SUM(J99*15.9%)</f>
        <v>221394.62100000001</v>
      </c>
      <c r="M99" s="147"/>
      <c r="N99" s="147"/>
      <c r="O99" s="132">
        <f t="shared" ref="O99:O108" si="172">SUM(P99:R99)</f>
        <v>1613813.621</v>
      </c>
      <c r="P99" s="147">
        <f>SUM(1355152+37267)</f>
        <v>1392419</v>
      </c>
      <c r="Q99" s="139"/>
      <c r="R99" s="139">
        <v>221394.62100000001</v>
      </c>
      <c r="S99" s="159"/>
      <c r="T99" s="139">
        <v>1613813.621</v>
      </c>
      <c r="U99" s="139"/>
      <c r="V99" s="132">
        <v>668902.02</v>
      </c>
      <c r="W99" s="139"/>
      <c r="X99" s="147"/>
      <c r="Y99" s="147"/>
      <c r="Z99" s="132">
        <f t="shared" ref="Z99:Z108" si="173">SUM(U99:Y99)</f>
        <v>668902.02</v>
      </c>
      <c r="AA99" s="132">
        <f t="shared" ref="AA99:AA108" si="174">SUM(T99-Z99)</f>
        <v>944911.60100000002</v>
      </c>
      <c r="AB99" s="132">
        <f t="shared" ref="AB99:AB108" si="175">SUM(AC99:AE99)</f>
        <v>0</v>
      </c>
      <c r="AC99" s="147"/>
      <c r="AD99" s="139"/>
      <c r="AE99" s="139"/>
      <c r="AF99" s="159"/>
      <c r="AG99" s="91">
        <v>1613813.621</v>
      </c>
      <c r="AH99" s="91"/>
      <c r="AI99" s="90">
        <v>1030920.1</v>
      </c>
      <c r="AJ99" s="91"/>
      <c r="AK99" s="92"/>
      <c r="AL99" s="92"/>
      <c r="AM99" s="90">
        <f t="shared" ref="AM99:AM108" si="176">SUM(AH99:AL99)</f>
        <v>1030920.1</v>
      </c>
      <c r="AN99" s="90">
        <v>0</v>
      </c>
      <c r="AO99" s="90">
        <f t="shared" ref="AO99:AO108" si="177">SUM(AG99-AM99)</f>
        <v>582893.52100000007</v>
      </c>
      <c r="AP99" s="132">
        <f t="shared" ref="AP99:AP108" si="178">SUM(AQ99:AS99)</f>
        <v>0</v>
      </c>
      <c r="AQ99" s="147"/>
      <c r="AR99" s="139"/>
      <c r="AS99" s="139"/>
      <c r="AT99" s="45"/>
    </row>
    <row r="100" spans="1:46" ht="114" x14ac:dyDescent="0.35">
      <c r="B100" s="130" t="s">
        <v>177</v>
      </c>
      <c r="C100" s="130" t="s">
        <v>391</v>
      </c>
      <c r="D100" s="130"/>
      <c r="E100" s="131"/>
      <c r="F100" s="132">
        <v>1845901</v>
      </c>
      <c r="G100" s="132">
        <v>1842269</v>
      </c>
      <c r="H100" s="132">
        <f t="shared" si="170"/>
        <v>2198232.4169999999</v>
      </c>
      <c r="I100" s="139"/>
      <c r="J100" s="139">
        <v>1896663</v>
      </c>
      <c r="K100" s="139"/>
      <c r="L100" s="132">
        <f t="shared" si="171"/>
        <v>301569.41700000002</v>
      </c>
      <c r="M100" s="132"/>
      <c r="N100" s="132"/>
      <c r="O100" s="132">
        <f t="shared" si="172"/>
        <v>2198232.4169999999</v>
      </c>
      <c r="P100" s="132">
        <f>SUM(1845901+50762)</f>
        <v>1896663</v>
      </c>
      <c r="Q100" s="139"/>
      <c r="R100" s="139">
        <v>301569.41700000002</v>
      </c>
      <c r="S100" s="140"/>
      <c r="T100" s="139">
        <v>2198232.4169999999</v>
      </c>
      <c r="U100" s="139"/>
      <c r="V100" s="132">
        <v>1008283.01</v>
      </c>
      <c r="W100" s="139"/>
      <c r="X100" s="132"/>
      <c r="Y100" s="132"/>
      <c r="Z100" s="132">
        <f t="shared" si="173"/>
        <v>1008283.01</v>
      </c>
      <c r="AA100" s="132">
        <f t="shared" si="174"/>
        <v>1189949.4069999999</v>
      </c>
      <c r="AB100" s="132">
        <f t="shared" si="175"/>
        <v>0</v>
      </c>
      <c r="AC100" s="132"/>
      <c r="AD100" s="139"/>
      <c r="AE100" s="139"/>
      <c r="AF100" s="140"/>
      <c r="AG100" s="91">
        <v>2198232.4169999999</v>
      </c>
      <c r="AH100" s="91"/>
      <c r="AI100" s="90">
        <v>1528572.5</v>
      </c>
      <c r="AJ100" s="91"/>
      <c r="AK100" s="90"/>
      <c r="AL100" s="90"/>
      <c r="AM100" s="90">
        <f t="shared" si="176"/>
        <v>1528572.5</v>
      </c>
      <c r="AN100" s="90">
        <v>0</v>
      </c>
      <c r="AO100" s="90">
        <f t="shared" si="177"/>
        <v>669659.9169999999</v>
      </c>
      <c r="AP100" s="132">
        <f t="shared" si="178"/>
        <v>0</v>
      </c>
      <c r="AQ100" s="132"/>
      <c r="AR100" s="139"/>
      <c r="AS100" s="139"/>
      <c r="AT100" s="45"/>
    </row>
    <row r="101" spans="1:46" ht="114" x14ac:dyDescent="0.35">
      <c r="B101" s="130" t="s">
        <v>179</v>
      </c>
      <c r="C101" s="130" t="s">
        <v>392</v>
      </c>
      <c r="D101" s="130"/>
      <c r="E101" s="131"/>
      <c r="F101" s="147">
        <v>396530</v>
      </c>
      <c r="G101" s="147">
        <v>309471</v>
      </c>
      <c r="H101" s="132">
        <f t="shared" si="170"/>
        <v>472217.16499999998</v>
      </c>
      <c r="I101" s="139"/>
      <c r="J101" s="139">
        <v>407435</v>
      </c>
      <c r="K101" s="139"/>
      <c r="L101" s="132">
        <f t="shared" si="171"/>
        <v>64782.165000000001</v>
      </c>
      <c r="M101" s="147"/>
      <c r="N101" s="147"/>
      <c r="O101" s="132">
        <f t="shared" si="172"/>
        <v>472217.16499999998</v>
      </c>
      <c r="P101" s="147">
        <f>SUM(396530+10905)</f>
        <v>407435</v>
      </c>
      <c r="Q101" s="139"/>
      <c r="R101" s="139">
        <v>64782.165000000001</v>
      </c>
      <c r="S101" s="159"/>
      <c r="T101" s="139">
        <v>472217.16499999998</v>
      </c>
      <c r="U101" s="139"/>
      <c r="V101" s="132">
        <v>181196.23</v>
      </c>
      <c r="W101" s="139"/>
      <c r="X101" s="147"/>
      <c r="Y101" s="147"/>
      <c r="Z101" s="132">
        <f t="shared" si="173"/>
        <v>181196.23</v>
      </c>
      <c r="AA101" s="132">
        <f t="shared" si="174"/>
        <v>291020.93499999994</v>
      </c>
      <c r="AB101" s="132">
        <f t="shared" si="175"/>
        <v>0</v>
      </c>
      <c r="AC101" s="147"/>
      <c r="AD101" s="139"/>
      <c r="AE101" s="139"/>
      <c r="AF101" s="159"/>
      <c r="AG101" s="91">
        <v>472217.16499999998</v>
      </c>
      <c r="AH101" s="91"/>
      <c r="AI101" s="90">
        <v>271664.40999999997</v>
      </c>
      <c r="AJ101" s="91"/>
      <c r="AK101" s="92"/>
      <c r="AL101" s="92"/>
      <c r="AM101" s="90">
        <f t="shared" si="176"/>
        <v>271664.40999999997</v>
      </c>
      <c r="AN101" s="90">
        <v>0</v>
      </c>
      <c r="AO101" s="90">
        <f t="shared" si="177"/>
        <v>200552.755</v>
      </c>
      <c r="AP101" s="132">
        <f t="shared" si="178"/>
        <v>0</v>
      </c>
      <c r="AQ101" s="147"/>
      <c r="AR101" s="139"/>
      <c r="AS101" s="139"/>
      <c r="AT101" s="53"/>
    </row>
    <row r="102" spans="1:46" ht="142.5" x14ac:dyDescent="0.35">
      <c r="B102" s="130" t="s">
        <v>181</v>
      </c>
      <c r="C102" s="130" t="s">
        <v>393</v>
      </c>
      <c r="D102" s="130"/>
      <c r="E102" s="131"/>
      <c r="F102" s="147">
        <v>179707</v>
      </c>
      <c r="G102" s="147">
        <v>122904</v>
      </c>
      <c r="H102" s="132">
        <f t="shared" si="170"/>
        <v>214008.19099999999</v>
      </c>
      <c r="I102" s="139"/>
      <c r="J102" s="139">
        <v>184649</v>
      </c>
      <c r="K102" s="139"/>
      <c r="L102" s="132">
        <f t="shared" si="171"/>
        <v>29359.190999999999</v>
      </c>
      <c r="M102" s="147"/>
      <c r="N102" s="147"/>
      <c r="O102" s="132">
        <f t="shared" si="172"/>
        <v>214008.19099999999</v>
      </c>
      <c r="P102" s="147">
        <f>SUM(179707+4942)</f>
        <v>184649</v>
      </c>
      <c r="Q102" s="139"/>
      <c r="R102" s="139">
        <v>29359.190999999999</v>
      </c>
      <c r="S102" s="159"/>
      <c r="T102" s="139">
        <v>214008.19099999999</v>
      </c>
      <c r="U102" s="139"/>
      <c r="V102" s="132">
        <v>92014.05</v>
      </c>
      <c r="W102" s="139"/>
      <c r="X102" s="147"/>
      <c r="Y102" s="147"/>
      <c r="Z102" s="132">
        <f t="shared" si="173"/>
        <v>92014.05</v>
      </c>
      <c r="AA102" s="132">
        <f t="shared" si="174"/>
        <v>121994.14099999999</v>
      </c>
      <c r="AB102" s="132">
        <f t="shared" si="175"/>
        <v>0</v>
      </c>
      <c r="AC102" s="147"/>
      <c r="AD102" s="139"/>
      <c r="AE102" s="139"/>
      <c r="AF102" s="159"/>
      <c r="AG102" s="91">
        <v>214008.19099999999</v>
      </c>
      <c r="AH102" s="91"/>
      <c r="AI102" s="90">
        <v>139754.54999999999</v>
      </c>
      <c r="AJ102" s="91"/>
      <c r="AK102" s="92"/>
      <c r="AL102" s="92"/>
      <c r="AM102" s="90">
        <f t="shared" si="176"/>
        <v>139754.54999999999</v>
      </c>
      <c r="AN102" s="90">
        <v>0</v>
      </c>
      <c r="AO102" s="90">
        <f t="shared" si="177"/>
        <v>74253.641000000003</v>
      </c>
      <c r="AP102" s="132">
        <f t="shared" si="178"/>
        <v>0</v>
      </c>
      <c r="AQ102" s="147"/>
      <c r="AR102" s="139"/>
      <c r="AS102" s="139"/>
      <c r="AT102" s="53"/>
    </row>
    <row r="103" spans="1:46" ht="114" x14ac:dyDescent="0.35">
      <c r="B103" s="130" t="s">
        <v>183</v>
      </c>
      <c r="C103" s="130" t="s">
        <v>394</v>
      </c>
      <c r="D103" s="130"/>
      <c r="E103" s="131"/>
      <c r="F103" s="147">
        <v>669292</v>
      </c>
      <c r="G103" s="147">
        <v>486687</v>
      </c>
      <c r="H103" s="132">
        <f t="shared" si="170"/>
        <v>797041.98199999996</v>
      </c>
      <c r="I103" s="139"/>
      <c r="J103" s="139">
        <v>687698</v>
      </c>
      <c r="K103" s="139"/>
      <c r="L103" s="132">
        <f t="shared" si="171"/>
        <v>109343.982</v>
      </c>
      <c r="M103" s="147"/>
      <c r="N103" s="147"/>
      <c r="O103" s="132">
        <f t="shared" si="172"/>
        <v>797041.98199999996</v>
      </c>
      <c r="P103" s="147">
        <f>SUM(669292+18406)</f>
        <v>687698</v>
      </c>
      <c r="Q103" s="139"/>
      <c r="R103" s="139">
        <v>109343.982</v>
      </c>
      <c r="S103" s="159"/>
      <c r="T103" s="139">
        <v>797041.98199999996</v>
      </c>
      <c r="U103" s="139"/>
      <c r="V103" s="132">
        <v>280695.63</v>
      </c>
      <c r="W103" s="139"/>
      <c r="X103" s="147"/>
      <c r="Y103" s="147"/>
      <c r="Z103" s="132">
        <f t="shared" si="173"/>
        <v>280695.63</v>
      </c>
      <c r="AA103" s="132">
        <f t="shared" si="174"/>
        <v>516346.35199999996</v>
      </c>
      <c r="AB103" s="132">
        <f t="shared" si="175"/>
        <v>0</v>
      </c>
      <c r="AC103" s="147"/>
      <c r="AD103" s="139"/>
      <c r="AE103" s="139"/>
      <c r="AF103" s="159"/>
      <c r="AG103" s="91">
        <v>797041.98199999996</v>
      </c>
      <c r="AH103" s="91"/>
      <c r="AI103" s="90">
        <v>397172.94</v>
      </c>
      <c r="AJ103" s="91"/>
      <c r="AK103" s="92"/>
      <c r="AL103" s="92"/>
      <c r="AM103" s="90">
        <f t="shared" si="176"/>
        <v>397172.94</v>
      </c>
      <c r="AN103" s="90">
        <v>0</v>
      </c>
      <c r="AO103" s="90">
        <f t="shared" si="177"/>
        <v>399869.04199999996</v>
      </c>
      <c r="AP103" s="132">
        <f t="shared" si="178"/>
        <v>0</v>
      </c>
      <c r="AQ103" s="147"/>
      <c r="AR103" s="139"/>
      <c r="AS103" s="139"/>
      <c r="AT103" s="53"/>
    </row>
    <row r="104" spans="1:46" ht="57" x14ac:dyDescent="0.35">
      <c r="B104" s="130" t="s">
        <v>185</v>
      </c>
      <c r="C104" s="130" t="s">
        <v>395</v>
      </c>
      <c r="D104" s="130"/>
      <c r="E104" s="131"/>
      <c r="F104" s="147">
        <v>4376714</v>
      </c>
      <c r="G104" s="147">
        <v>3355228</v>
      </c>
      <c r="H104" s="132">
        <f t="shared" si="170"/>
        <v>5212108.7659999998</v>
      </c>
      <c r="I104" s="139"/>
      <c r="J104" s="139">
        <v>4497074</v>
      </c>
      <c r="K104" s="139"/>
      <c r="L104" s="132">
        <f t="shared" si="171"/>
        <v>715034.76600000006</v>
      </c>
      <c r="M104" s="147"/>
      <c r="N104" s="147"/>
      <c r="O104" s="132">
        <f t="shared" si="172"/>
        <v>5212108.7659999998</v>
      </c>
      <c r="P104" s="147">
        <f>SUM(4376714+120360)</f>
        <v>4497074</v>
      </c>
      <c r="Q104" s="139"/>
      <c r="R104" s="139">
        <v>715034.76600000006</v>
      </c>
      <c r="S104" s="159"/>
      <c r="T104" s="139">
        <v>5212108.7659999998</v>
      </c>
      <c r="U104" s="139"/>
      <c r="V104" s="139">
        <v>2083044.96</v>
      </c>
      <c r="W104" s="139"/>
      <c r="X104" s="147"/>
      <c r="Y104" s="147"/>
      <c r="Z104" s="132">
        <f t="shared" si="173"/>
        <v>2083044.96</v>
      </c>
      <c r="AA104" s="132">
        <f t="shared" si="174"/>
        <v>3129063.8059999999</v>
      </c>
      <c r="AB104" s="132">
        <f t="shared" si="175"/>
        <v>0</v>
      </c>
      <c r="AC104" s="147"/>
      <c r="AD104" s="139"/>
      <c r="AE104" s="139"/>
      <c r="AF104" s="159"/>
      <c r="AG104" s="91">
        <v>5212108.7659999998</v>
      </c>
      <c r="AH104" s="91"/>
      <c r="AI104" s="91">
        <v>3141017.31</v>
      </c>
      <c r="AJ104" s="91"/>
      <c r="AK104" s="92"/>
      <c r="AL104" s="92"/>
      <c r="AM104" s="90">
        <f t="shared" si="176"/>
        <v>3141017.31</v>
      </c>
      <c r="AN104" s="90">
        <v>0</v>
      </c>
      <c r="AO104" s="90">
        <f t="shared" si="177"/>
        <v>2071091.4559999998</v>
      </c>
      <c r="AP104" s="132">
        <f t="shared" si="178"/>
        <v>0</v>
      </c>
      <c r="AQ104" s="147"/>
      <c r="AR104" s="139"/>
      <c r="AS104" s="139"/>
      <c r="AT104" s="53"/>
    </row>
    <row r="105" spans="1:46" ht="114" x14ac:dyDescent="0.35">
      <c r="B105" s="130" t="s">
        <v>187</v>
      </c>
      <c r="C105" s="130" t="s">
        <v>396</v>
      </c>
      <c r="D105" s="130"/>
      <c r="E105" s="131"/>
      <c r="F105" s="147">
        <v>300000</v>
      </c>
      <c r="G105" s="147">
        <v>58261</v>
      </c>
      <c r="H105" s="132">
        <f t="shared" si="170"/>
        <v>347700</v>
      </c>
      <c r="I105" s="139"/>
      <c r="J105" s="139">
        <v>300000</v>
      </c>
      <c r="K105" s="139"/>
      <c r="L105" s="132">
        <f t="shared" si="171"/>
        <v>47700</v>
      </c>
      <c r="M105" s="147"/>
      <c r="N105" s="147"/>
      <c r="O105" s="132">
        <f t="shared" si="172"/>
        <v>347700</v>
      </c>
      <c r="P105" s="147"/>
      <c r="Q105" s="139">
        <v>300000</v>
      </c>
      <c r="R105" s="139">
        <v>47700</v>
      </c>
      <c r="S105" s="159"/>
      <c r="T105" s="139">
        <v>347700</v>
      </c>
      <c r="U105" s="139"/>
      <c r="V105" s="139">
        <v>7289.25</v>
      </c>
      <c r="W105" s="139"/>
      <c r="X105" s="147"/>
      <c r="Y105" s="147"/>
      <c r="Z105" s="132">
        <f t="shared" si="173"/>
        <v>7289.25</v>
      </c>
      <c r="AA105" s="132">
        <f t="shared" si="174"/>
        <v>340410.75</v>
      </c>
      <c r="AB105" s="132">
        <f t="shared" si="175"/>
        <v>0</v>
      </c>
      <c r="AC105" s="147"/>
      <c r="AD105" s="139"/>
      <c r="AE105" s="139"/>
      <c r="AF105" s="159"/>
      <c r="AG105" s="91">
        <v>347700</v>
      </c>
      <c r="AH105" s="91"/>
      <c r="AI105" s="91">
        <v>14036.92</v>
      </c>
      <c r="AJ105" s="91"/>
      <c r="AK105" s="92"/>
      <c r="AL105" s="92"/>
      <c r="AM105" s="90">
        <f t="shared" si="176"/>
        <v>14036.92</v>
      </c>
      <c r="AN105" s="90">
        <v>0</v>
      </c>
      <c r="AO105" s="90">
        <f t="shared" si="177"/>
        <v>333663.08</v>
      </c>
      <c r="AP105" s="132">
        <f t="shared" si="178"/>
        <v>0</v>
      </c>
      <c r="AQ105" s="147"/>
      <c r="AR105" s="139"/>
      <c r="AS105" s="139"/>
      <c r="AT105" s="53"/>
    </row>
    <row r="106" spans="1:46" ht="114" x14ac:dyDescent="0.35">
      <c r="B106" s="130" t="s">
        <v>189</v>
      </c>
      <c r="C106" s="130" t="s">
        <v>397</v>
      </c>
      <c r="D106" s="130"/>
      <c r="E106" s="131"/>
      <c r="F106" s="147">
        <v>10925060</v>
      </c>
      <c r="G106" s="147">
        <v>10410987</v>
      </c>
      <c r="H106" s="132">
        <f t="shared" si="170"/>
        <v>13714668.93</v>
      </c>
      <c r="I106" s="139"/>
      <c r="J106" s="139">
        <v>11244270</v>
      </c>
      <c r="K106" s="139">
        <v>682560</v>
      </c>
      <c r="L106" s="132">
        <f t="shared" si="171"/>
        <v>1787838.93</v>
      </c>
      <c r="M106" s="147"/>
      <c r="N106" s="147"/>
      <c r="O106" s="132">
        <f t="shared" si="172"/>
        <v>13714668.93</v>
      </c>
      <c r="P106" s="147">
        <f>SUM(11607620+319210)</f>
        <v>11926830</v>
      </c>
      <c r="Q106" s="139"/>
      <c r="R106" s="139">
        <v>1787838.93</v>
      </c>
      <c r="S106" s="159"/>
      <c r="T106" s="139">
        <v>13714668.93</v>
      </c>
      <c r="U106" s="139"/>
      <c r="V106" s="139">
        <v>6138049.7800000003</v>
      </c>
      <c r="W106" s="139"/>
      <c r="X106" s="147"/>
      <c r="Y106" s="147"/>
      <c r="Z106" s="132">
        <f t="shared" si="173"/>
        <v>6138049.7800000003</v>
      </c>
      <c r="AA106" s="132">
        <f t="shared" si="174"/>
        <v>7576619.1499999994</v>
      </c>
      <c r="AB106" s="132">
        <f t="shared" si="175"/>
        <v>0</v>
      </c>
      <c r="AC106" s="147"/>
      <c r="AD106" s="139"/>
      <c r="AE106" s="139"/>
      <c r="AF106" s="159"/>
      <c r="AG106" s="91">
        <v>13714668.93</v>
      </c>
      <c r="AH106" s="91"/>
      <c r="AI106" s="91">
        <v>9167277.9100000001</v>
      </c>
      <c r="AJ106" s="91"/>
      <c r="AK106" s="92"/>
      <c r="AL106" s="92"/>
      <c r="AM106" s="90">
        <f t="shared" si="176"/>
        <v>9167277.9100000001</v>
      </c>
      <c r="AN106" s="90">
        <v>0</v>
      </c>
      <c r="AO106" s="90">
        <f t="shared" si="177"/>
        <v>4547391.0199999996</v>
      </c>
      <c r="AP106" s="132">
        <f t="shared" si="178"/>
        <v>0</v>
      </c>
      <c r="AQ106" s="147"/>
      <c r="AR106" s="139"/>
      <c r="AS106" s="139"/>
      <c r="AT106" s="53"/>
    </row>
    <row r="107" spans="1:46" ht="114" x14ac:dyDescent="0.35">
      <c r="B107" s="130" t="s">
        <v>191</v>
      </c>
      <c r="C107" s="130" t="s">
        <v>398</v>
      </c>
      <c r="D107" s="130"/>
      <c r="E107" s="131"/>
      <c r="F107" s="132">
        <v>300000</v>
      </c>
      <c r="G107" s="132">
        <v>83127</v>
      </c>
      <c r="H107" s="132">
        <f t="shared" si="170"/>
        <v>347700</v>
      </c>
      <c r="I107" s="139"/>
      <c r="J107" s="139">
        <v>300000</v>
      </c>
      <c r="K107" s="139"/>
      <c r="L107" s="132">
        <f t="shared" si="171"/>
        <v>47700</v>
      </c>
      <c r="M107" s="132"/>
      <c r="N107" s="132"/>
      <c r="O107" s="132">
        <f t="shared" si="172"/>
        <v>347700</v>
      </c>
      <c r="P107" s="132"/>
      <c r="Q107" s="139">
        <v>300000</v>
      </c>
      <c r="R107" s="139">
        <v>47700</v>
      </c>
      <c r="S107" s="159"/>
      <c r="T107" s="139">
        <v>347700</v>
      </c>
      <c r="U107" s="139"/>
      <c r="V107" s="139">
        <v>6002.71</v>
      </c>
      <c r="W107" s="139"/>
      <c r="X107" s="147"/>
      <c r="Y107" s="147"/>
      <c r="Z107" s="132">
        <f t="shared" si="173"/>
        <v>6002.71</v>
      </c>
      <c r="AA107" s="132">
        <f t="shared" si="174"/>
        <v>341697.29</v>
      </c>
      <c r="AB107" s="132">
        <f t="shared" si="175"/>
        <v>0</v>
      </c>
      <c r="AC107" s="132"/>
      <c r="AD107" s="139"/>
      <c r="AE107" s="139"/>
      <c r="AF107" s="159"/>
      <c r="AG107" s="91">
        <v>347700</v>
      </c>
      <c r="AH107" s="91"/>
      <c r="AI107" s="91">
        <v>10117.26</v>
      </c>
      <c r="AJ107" s="91"/>
      <c r="AK107" s="92"/>
      <c r="AL107" s="92"/>
      <c r="AM107" s="90">
        <f t="shared" si="176"/>
        <v>10117.26</v>
      </c>
      <c r="AN107" s="90">
        <v>0</v>
      </c>
      <c r="AO107" s="90">
        <f t="shared" si="177"/>
        <v>337582.74</v>
      </c>
      <c r="AP107" s="132">
        <f t="shared" si="178"/>
        <v>0</v>
      </c>
      <c r="AQ107" s="132"/>
      <c r="AR107" s="139"/>
      <c r="AS107" s="139"/>
      <c r="AT107" s="53"/>
    </row>
    <row r="108" spans="1:46" ht="199.5" x14ac:dyDescent="0.35">
      <c r="B108" s="130" t="s">
        <v>193</v>
      </c>
      <c r="C108" s="130" t="s">
        <v>399</v>
      </c>
      <c r="D108" s="130"/>
      <c r="E108" s="131"/>
      <c r="F108" s="132"/>
      <c r="G108" s="132"/>
      <c r="H108" s="132">
        <f t="shared" si="170"/>
        <v>180000</v>
      </c>
      <c r="I108" s="132"/>
      <c r="J108" s="132">
        <v>0</v>
      </c>
      <c r="K108" s="132">
        <v>180000</v>
      </c>
      <c r="L108" s="132">
        <f t="shared" si="171"/>
        <v>0</v>
      </c>
      <c r="M108" s="132"/>
      <c r="N108" s="132"/>
      <c r="O108" s="132">
        <f t="shared" si="172"/>
        <v>180000</v>
      </c>
      <c r="P108" s="132">
        <v>180000</v>
      </c>
      <c r="Q108" s="132"/>
      <c r="R108" s="132"/>
      <c r="S108" s="134"/>
      <c r="T108" s="132">
        <v>180000</v>
      </c>
      <c r="U108" s="132"/>
      <c r="V108" s="132">
        <v>0</v>
      </c>
      <c r="W108" s="132">
        <v>75998.210000000006</v>
      </c>
      <c r="X108" s="132"/>
      <c r="Y108" s="132"/>
      <c r="Z108" s="132">
        <f t="shared" si="173"/>
        <v>75998.210000000006</v>
      </c>
      <c r="AA108" s="132">
        <f t="shared" si="174"/>
        <v>104001.79</v>
      </c>
      <c r="AB108" s="132">
        <f t="shared" si="175"/>
        <v>0</v>
      </c>
      <c r="AC108" s="132"/>
      <c r="AD108" s="132"/>
      <c r="AE108" s="132"/>
      <c r="AF108" s="134"/>
      <c r="AG108" s="90">
        <v>180000</v>
      </c>
      <c r="AH108" s="90"/>
      <c r="AI108" s="90">
        <v>0</v>
      </c>
      <c r="AJ108" s="90">
        <v>120647.13</v>
      </c>
      <c r="AK108" s="90"/>
      <c r="AL108" s="90"/>
      <c r="AM108" s="90">
        <f t="shared" si="176"/>
        <v>120647.13</v>
      </c>
      <c r="AN108" s="90">
        <v>0</v>
      </c>
      <c r="AO108" s="90">
        <f t="shared" si="177"/>
        <v>59352.869999999995</v>
      </c>
      <c r="AP108" s="132">
        <f t="shared" si="178"/>
        <v>0</v>
      </c>
      <c r="AQ108" s="132"/>
      <c r="AR108" s="132"/>
      <c r="AS108" s="132"/>
      <c r="AT108" s="47"/>
    </row>
    <row r="109" spans="1:46" ht="28.5" x14ac:dyDescent="0.35">
      <c r="B109" s="161"/>
      <c r="C109" s="161"/>
      <c r="D109" s="161"/>
      <c r="E109" s="136"/>
      <c r="F109" s="125"/>
      <c r="G109" s="125"/>
      <c r="H109" s="125"/>
      <c r="I109" s="125"/>
      <c r="J109" s="125"/>
      <c r="K109" s="125"/>
      <c r="L109" s="125"/>
      <c r="M109" s="125"/>
      <c r="N109" s="125"/>
      <c r="O109" s="125"/>
      <c r="P109" s="125"/>
      <c r="Q109" s="125"/>
      <c r="R109" s="125"/>
      <c r="S109" s="126"/>
      <c r="T109" s="125"/>
      <c r="U109" s="125"/>
      <c r="V109" s="125"/>
      <c r="W109" s="125"/>
      <c r="X109" s="125"/>
      <c r="Y109" s="125"/>
      <c r="Z109" s="125"/>
      <c r="AA109" s="125"/>
      <c r="AB109" s="125"/>
      <c r="AC109" s="125"/>
      <c r="AD109" s="125"/>
      <c r="AE109" s="125"/>
      <c r="AF109" s="126"/>
      <c r="AG109" s="88"/>
      <c r="AH109" s="88"/>
      <c r="AI109" s="88"/>
      <c r="AJ109" s="88"/>
      <c r="AK109" s="88"/>
      <c r="AL109" s="88"/>
      <c r="AM109" s="88"/>
      <c r="AN109" s="88"/>
      <c r="AO109" s="88"/>
      <c r="AP109" s="125"/>
      <c r="AQ109" s="125"/>
      <c r="AR109" s="125"/>
      <c r="AS109" s="125"/>
      <c r="AT109" s="45"/>
    </row>
    <row r="110" spans="1:46" ht="57" x14ac:dyDescent="0.65">
      <c r="A110" s="1">
        <v>2.8</v>
      </c>
      <c r="B110" s="170" t="s">
        <v>194</v>
      </c>
      <c r="C110" s="198" t="s">
        <v>438</v>
      </c>
      <c r="D110" s="199"/>
      <c r="E110" s="127"/>
      <c r="F110" s="128">
        <f t="shared" ref="F110:R110" si="179">+SUM(F111:F113)</f>
        <v>16633827</v>
      </c>
      <c r="G110" s="128">
        <f t="shared" si="179"/>
        <v>9980736</v>
      </c>
      <c r="H110" s="128">
        <f>+SUM(H111:H113)</f>
        <v>19811907.752999999</v>
      </c>
      <c r="I110" s="128">
        <f t="shared" si="179"/>
        <v>0</v>
      </c>
      <c r="J110" s="128">
        <f>+SUM(J111:J113)</f>
        <v>17093967</v>
      </c>
      <c r="K110" s="128">
        <f t="shared" si="179"/>
        <v>0</v>
      </c>
      <c r="L110" s="128">
        <f>+SUM(L111:L113)</f>
        <v>2717940.753</v>
      </c>
      <c r="M110" s="128">
        <f t="shared" si="179"/>
        <v>0</v>
      </c>
      <c r="N110" s="128">
        <f t="shared" si="179"/>
        <v>0</v>
      </c>
      <c r="O110" s="128">
        <f t="shared" si="179"/>
        <v>19811907.752999999</v>
      </c>
      <c r="P110" s="128">
        <f t="shared" si="179"/>
        <v>17093967</v>
      </c>
      <c r="Q110" s="128">
        <f t="shared" ref="Q110" si="180">+SUM(Q111:Q113)</f>
        <v>0</v>
      </c>
      <c r="R110" s="128">
        <f t="shared" si="179"/>
        <v>2717940.753</v>
      </c>
      <c r="S110" s="141"/>
      <c r="T110" s="128">
        <v>19811907.752999999</v>
      </c>
      <c r="U110" s="128">
        <f t="shared" ref="U110:Y110" si="181">+SUM(U111:U113)</f>
        <v>0</v>
      </c>
      <c r="V110" s="128">
        <f t="shared" si="181"/>
        <v>5448346.5200000005</v>
      </c>
      <c r="W110" s="128">
        <f t="shared" si="181"/>
        <v>0</v>
      </c>
      <c r="X110" s="128">
        <f t="shared" si="181"/>
        <v>0</v>
      </c>
      <c r="Y110" s="128">
        <f t="shared" si="181"/>
        <v>0</v>
      </c>
      <c r="Z110" s="128">
        <f>+SUM(Z111:Z113)</f>
        <v>5448346.5200000005</v>
      </c>
      <c r="AA110" s="128">
        <f>+SUM(AA111:AA113)</f>
        <v>14363561.232999999</v>
      </c>
      <c r="AB110" s="128">
        <f t="shared" ref="AB110:AE110" si="182">+SUM(AB111:AB113)</f>
        <v>0</v>
      </c>
      <c r="AC110" s="128">
        <f t="shared" si="182"/>
        <v>0</v>
      </c>
      <c r="AD110" s="128">
        <f t="shared" si="182"/>
        <v>0</v>
      </c>
      <c r="AE110" s="128">
        <f t="shared" si="182"/>
        <v>0</v>
      </c>
      <c r="AF110" s="141"/>
      <c r="AG110" s="89">
        <v>19811907.752999999</v>
      </c>
      <c r="AH110" s="89">
        <f t="shared" ref="AH110:AL110" si="183">+SUM(AH111:AH113)</f>
        <v>0</v>
      </c>
      <c r="AI110" s="89">
        <f t="shared" si="183"/>
        <v>8187512.8700000001</v>
      </c>
      <c r="AJ110" s="89">
        <f t="shared" si="183"/>
        <v>0</v>
      </c>
      <c r="AK110" s="89">
        <f t="shared" si="183"/>
        <v>0</v>
      </c>
      <c r="AL110" s="89">
        <f t="shared" si="183"/>
        <v>0</v>
      </c>
      <c r="AM110" s="89">
        <f>+SUM(AM111:AM113)</f>
        <v>8187512.8700000001</v>
      </c>
      <c r="AN110" s="89">
        <f>+SUM(AN111:AN113)</f>
        <v>0</v>
      </c>
      <c r="AO110" s="89">
        <f>+SUM(AO111:AO113)</f>
        <v>11624394.883000001</v>
      </c>
      <c r="AP110" s="128">
        <f t="shared" ref="AP110:AS110" si="184">+SUM(AP111:AP113)</f>
        <v>0</v>
      </c>
      <c r="AQ110" s="128">
        <f t="shared" si="184"/>
        <v>0</v>
      </c>
      <c r="AR110" s="128">
        <f t="shared" si="184"/>
        <v>0</v>
      </c>
      <c r="AS110" s="128">
        <f t="shared" si="184"/>
        <v>0</v>
      </c>
      <c r="AT110" s="46"/>
    </row>
    <row r="111" spans="1:46" ht="114" x14ac:dyDescent="0.35">
      <c r="B111" s="130" t="s">
        <v>195</v>
      </c>
      <c r="C111" s="130" t="s">
        <v>400</v>
      </c>
      <c r="D111" s="130"/>
      <c r="E111" s="131"/>
      <c r="F111" s="132">
        <v>9535249</v>
      </c>
      <c r="G111" s="132">
        <v>5530594</v>
      </c>
      <c r="H111" s="132">
        <f>SUM(I111:N111)</f>
        <v>11355265.412</v>
      </c>
      <c r="I111" s="139"/>
      <c r="J111" s="139">
        <v>9797468</v>
      </c>
      <c r="K111" s="139"/>
      <c r="L111" s="132">
        <f t="shared" ref="L111:L113" si="185">SUM(J111*15.9%)</f>
        <v>1557797.412</v>
      </c>
      <c r="M111" s="132"/>
      <c r="N111" s="132"/>
      <c r="O111" s="132">
        <f>SUM(P111:R111)</f>
        <v>11355265.412</v>
      </c>
      <c r="P111" s="132">
        <v>9797468</v>
      </c>
      <c r="Q111" s="139"/>
      <c r="R111" s="139">
        <v>1557797.412</v>
      </c>
      <c r="S111" s="140"/>
      <c r="T111" s="139">
        <v>11355265.412</v>
      </c>
      <c r="U111" s="139"/>
      <c r="V111" s="139">
        <v>5420146.4000000004</v>
      </c>
      <c r="W111" s="139"/>
      <c r="X111" s="132"/>
      <c r="Y111" s="132"/>
      <c r="Z111" s="132">
        <f t="shared" ref="Z111:Z113" si="186">SUM(U111:Y111)</f>
        <v>5420146.4000000004</v>
      </c>
      <c r="AA111" s="132">
        <f t="shared" ref="AA111:AA113" si="187">SUM(T111-Z111)</f>
        <v>5935119.0120000001</v>
      </c>
      <c r="AB111" s="132">
        <f>SUM(AC111:AE111)</f>
        <v>0</v>
      </c>
      <c r="AC111" s="132"/>
      <c r="AD111" s="139"/>
      <c r="AE111" s="139"/>
      <c r="AF111" s="140"/>
      <c r="AG111" s="91">
        <v>11355265.412</v>
      </c>
      <c r="AH111" s="91"/>
      <c r="AI111" s="91">
        <v>8145365.8799999999</v>
      </c>
      <c r="AJ111" s="91"/>
      <c r="AK111" s="90"/>
      <c r="AL111" s="90"/>
      <c r="AM111" s="90">
        <f t="shared" ref="AM111:AN113" si="188">SUM(AH111:AL111)</f>
        <v>8145365.8799999999</v>
      </c>
      <c r="AN111" s="90">
        <v>0</v>
      </c>
      <c r="AO111" s="90">
        <f>SUM(AG111-AM111)</f>
        <v>3209899.5320000006</v>
      </c>
      <c r="AP111" s="132">
        <f>SUM(AQ111:AS111)</f>
        <v>0</v>
      </c>
      <c r="AQ111" s="132"/>
      <c r="AR111" s="139"/>
      <c r="AS111" s="139"/>
      <c r="AT111" s="48"/>
    </row>
    <row r="112" spans="1:46" ht="85.5" x14ac:dyDescent="0.35">
      <c r="B112" s="130" t="s">
        <v>198</v>
      </c>
      <c r="C112" s="130" t="s">
        <v>401</v>
      </c>
      <c r="D112" s="130"/>
      <c r="E112" s="131"/>
      <c r="F112" s="132">
        <v>31426</v>
      </c>
      <c r="G112" s="132">
        <v>33172</v>
      </c>
      <c r="H112" s="132">
        <f>SUM(I112:N112)</f>
        <v>40565</v>
      </c>
      <c r="I112" s="139"/>
      <c r="J112" s="139">
        <v>35000</v>
      </c>
      <c r="K112" s="139"/>
      <c r="L112" s="132">
        <f t="shared" si="185"/>
        <v>5565</v>
      </c>
      <c r="M112" s="132"/>
      <c r="N112" s="132"/>
      <c r="O112" s="132">
        <f>SUM(P112:R112)</f>
        <v>40565</v>
      </c>
      <c r="P112" s="132">
        <v>35000</v>
      </c>
      <c r="Q112" s="139"/>
      <c r="R112" s="139">
        <v>5565</v>
      </c>
      <c r="S112" s="140"/>
      <c r="T112" s="139">
        <v>40565</v>
      </c>
      <c r="U112" s="139"/>
      <c r="V112" s="139">
        <v>28200.12</v>
      </c>
      <c r="W112" s="139"/>
      <c r="X112" s="132"/>
      <c r="Y112" s="132"/>
      <c r="Z112" s="132">
        <f t="shared" si="186"/>
        <v>28200.12</v>
      </c>
      <c r="AA112" s="132">
        <f t="shared" si="187"/>
        <v>12364.880000000001</v>
      </c>
      <c r="AB112" s="132">
        <f>SUM(AC112:AE112)</f>
        <v>0</v>
      </c>
      <c r="AC112" s="132"/>
      <c r="AD112" s="139"/>
      <c r="AE112" s="139"/>
      <c r="AF112" s="140"/>
      <c r="AG112" s="91">
        <v>40565</v>
      </c>
      <c r="AH112" s="91"/>
      <c r="AI112" s="91">
        <v>42146.99</v>
      </c>
      <c r="AJ112" s="91"/>
      <c r="AK112" s="90"/>
      <c r="AL112" s="90"/>
      <c r="AM112" s="90">
        <f t="shared" si="188"/>
        <v>42146.99</v>
      </c>
      <c r="AN112" s="90">
        <v>0</v>
      </c>
      <c r="AO112" s="90">
        <f>SUM(AG112-AM112)</f>
        <v>-1581.989999999998</v>
      </c>
      <c r="AP112" s="132">
        <f>SUM(AQ112:AS112)</f>
        <v>0</v>
      </c>
      <c r="AQ112" s="132"/>
      <c r="AR112" s="139"/>
      <c r="AS112" s="139"/>
      <c r="AT112" s="48"/>
    </row>
    <row r="113" spans="1:46" ht="57" x14ac:dyDescent="0.35">
      <c r="B113" s="130" t="s">
        <v>200</v>
      </c>
      <c r="C113" s="130" t="s">
        <v>402</v>
      </c>
      <c r="D113" s="130"/>
      <c r="E113" s="131"/>
      <c r="F113" s="132">
        <v>7067152</v>
      </c>
      <c r="G113" s="132">
        <v>4416970</v>
      </c>
      <c r="H113" s="132">
        <f>SUM(I113:N113)</f>
        <v>8416077.341</v>
      </c>
      <c r="I113" s="139"/>
      <c r="J113" s="139">
        <v>7261499</v>
      </c>
      <c r="K113" s="139"/>
      <c r="L113" s="132">
        <f t="shared" si="185"/>
        <v>1154578.341</v>
      </c>
      <c r="M113" s="132"/>
      <c r="N113" s="132"/>
      <c r="O113" s="132">
        <f>SUM(P113:R113)</f>
        <v>8416077.341</v>
      </c>
      <c r="P113" s="132">
        <f>SUM(7067152+194347)</f>
        <v>7261499</v>
      </c>
      <c r="Q113" s="139"/>
      <c r="R113" s="139">
        <v>1154578.341</v>
      </c>
      <c r="S113" s="140"/>
      <c r="T113" s="139">
        <v>8416077.341</v>
      </c>
      <c r="U113" s="139"/>
      <c r="V113" s="139"/>
      <c r="W113" s="139"/>
      <c r="X113" s="132"/>
      <c r="Y113" s="132"/>
      <c r="Z113" s="132">
        <f t="shared" si="186"/>
        <v>0</v>
      </c>
      <c r="AA113" s="132">
        <f t="shared" si="187"/>
        <v>8416077.341</v>
      </c>
      <c r="AB113" s="132">
        <f>SUM(AC113:AE113)</f>
        <v>0</v>
      </c>
      <c r="AC113" s="132"/>
      <c r="AD113" s="139"/>
      <c r="AE113" s="139"/>
      <c r="AF113" s="140"/>
      <c r="AG113" s="91">
        <v>8416077.341</v>
      </c>
      <c r="AH113" s="91"/>
      <c r="AI113" s="91"/>
      <c r="AJ113" s="91"/>
      <c r="AK113" s="90"/>
      <c r="AL113" s="90"/>
      <c r="AM113" s="90">
        <f t="shared" si="188"/>
        <v>0</v>
      </c>
      <c r="AN113" s="90">
        <f t="shared" si="188"/>
        <v>0</v>
      </c>
      <c r="AO113" s="90">
        <f>SUM(AG113-AM113)</f>
        <v>8416077.341</v>
      </c>
      <c r="AP113" s="132">
        <f>SUM(AQ113:AS113)</f>
        <v>0</v>
      </c>
      <c r="AQ113" s="132"/>
      <c r="AR113" s="139"/>
      <c r="AS113" s="139"/>
      <c r="AT113" s="48"/>
    </row>
    <row r="114" spans="1:46" ht="28.5" x14ac:dyDescent="0.35">
      <c r="B114" s="161"/>
      <c r="C114" s="161"/>
      <c r="D114" s="161"/>
      <c r="E114" s="136"/>
      <c r="F114" s="125"/>
      <c r="G114" s="125"/>
      <c r="H114" s="125"/>
      <c r="I114" s="125"/>
      <c r="J114" s="125"/>
      <c r="K114" s="125"/>
      <c r="L114" s="125"/>
      <c r="M114" s="125"/>
      <c r="N114" s="125"/>
      <c r="O114" s="125"/>
      <c r="P114" s="125"/>
      <c r="Q114" s="125"/>
      <c r="R114" s="125"/>
      <c r="S114" s="126"/>
      <c r="T114" s="125"/>
      <c r="U114" s="125"/>
      <c r="V114" s="125"/>
      <c r="W114" s="125"/>
      <c r="X114" s="125"/>
      <c r="Y114" s="125"/>
      <c r="Z114" s="125"/>
      <c r="AA114" s="125"/>
      <c r="AB114" s="125"/>
      <c r="AC114" s="125"/>
      <c r="AD114" s="125"/>
      <c r="AE114" s="125"/>
      <c r="AF114" s="126"/>
      <c r="AG114" s="88"/>
      <c r="AH114" s="88"/>
      <c r="AI114" s="88"/>
      <c r="AJ114" s="88"/>
      <c r="AK114" s="88"/>
      <c r="AL114" s="88"/>
      <c r="AM114" s="88"/>
      <c r="AN114" s="88"/>
      <c r="AO114" s="88"/>
      <c r="AP114" s="125"/>
      <c r="AQ114" s="125"/>
      <c r="AR114" s="125"/>
      <c r="AS114" s="125"/>
      <c r="AT114" s="45"/>
    </row>
    <row r="115" spans="1:46" ht="28.5" x14ac:dyDescent="0.65">
      <c r="A115" s="1">
        <v>2.9</v>
      </c>
      <c r="B115" s="170" t="s">
        <v>202</v>
      </c>
      <c r="C115" s="198" t="s">
        <v>439</v>
      </c>
      <c r="D115" s="199"/>
      <c r="E115" s="127"/>
      <c r="F115" s="128">
        <f t="shared" ref="F115:R115" si="189">+SUM(F116:F117)</f>
        <v>182328413</v>
      </c>
      <c r="G115" s="128">
        <f t="shared" si="189"/>
        <v>214771257</v>
      </c>
      <c r="H115" s="128">
        <f>+SUM(H116:H117)</f>
        <v>202067331</v>
      </c>
      <c r="I115" s="128">
        <f t="shared" si="189"/>
        <v>202067331</v>
      </c>
      <c r="J115" s="128">
        <f t="shared" si="189"/>
        <v>0</v>
      </c>
      <c r="K115" s="128">
        <f t="shared" si="189"/>
        <v>0</v>
      </c>
      <c r="L115" s="128">
        <f>+SUM(L116:L117)</f>
        <v>0</v>
      </c>
      <c r="M115" s="128">
        <f t="shared" si="189"/>
        <v>0</v>
      </c>
      <c r="N115" s="128">
        <f t="shared" si="189"/>
        <v>0</v>
      </c>
      <c r="O115" s="128">
        <f t="shared" si="189"/>
        <v>0</v>
      </c>
      <c r="P115" s="128">
        <f t="shared" si="189"/>
        <v>0</v>
      </c>
      <c r="Q115" s="128">
        <f t="shared" ref="Q115" si="190">+SUM(Q116:Q117)</f>
        <v>0</v>
      </c>
      <c r="R115" s="128">
        <f t="shared" si="189"/>
        <v>0</v>
      </c>
      <c r="S115" s="141"/>
      <c r="T115" s="128">
        <v>202067331</v>
      </c>
      <c r="U115" s="128">
        <f t="shared" ref="U115:Y115" si="191">+SUM(U116:U117)</f>
        <v>85538829.640000001</v>
      </c>
      <c r="V115" s="128">
        <f t="shared" si="191"/>
        <v>66730.58</v>
      </c>
      <c r="W115" s="128">
        <f t="shared" si="191"/>
        <v>0</v>
      </c>
      <c r="X115" s="128">
        <f t="shared" si="191"/>
        <v>0</v>
      </c>
      <c r="Y115" s="128">
        <f t="shared" si="191"/>
        <v>0</v>
      </c>
      <c r="Z115" s="128">
        <f>+SUM(Z116:Z117)</f>
        <v>85605560.219999999</v>
      </c>
      <c r="AA115" s="128">
        <f>+SUM(AA116:AA117)</f>
        <v>116461770.78</v>
      </c>
      <c r="AB115" s="128">
        <f t="shared" ref="AB115:AE115" si="192">+SUM(AB116:AB117)</f>
        <v>0</v>
      </c>
      <c r="AC115" s="128">
        <f t="shared" si="192"/>
        <v>0</v>
      </c>
      <c r="AD115" s="128">
        <f t="shared" si="192"/>
        <v>0</v>
      </c>
      <c r="AE115" s="128">
        <f t="shared" si="192"/>
        <v>0</v>
      </c>
      <c r="AF115" s="141"/>
      <c r="AG115" s="89">
        <v>202067331</v>
      </c>
      <c r="AH115" s="89">
        <f t="shared" ref="AH115:AL115" si="193">+SUM(AH116:AH117)</f>
        <v>128400657.54000001</v>
      </c>
      <c r="AI115" s="89">
        <f t="shared" si="193"/>
        <v>401020.48</v>
      </c>
      <c r="AJ115" s="89">
        <f t="shared" si="193"/>
        <v>0</v>
      </c>
      <c r="AK115" s="89">
        <f t="shared" si="193"/>
        <v>0</v>
      </c>
      <c r="AL115" s="89">
        <f t="shared" si="193"/>
        <v>0</v>
      </c>
      <c r="AM115" s="89">
        <f>+SUM(AM116:AM117)</f>
        <v>128801678.02000001</v>
      </c>
      <c r="AN115" s="89">
        <f>+SUM(AN116:AN117)</f>
        <v>0</v>
      </c>
      <c r="AO115" s="89">
        <f>+SUM(AO116:AO117)</f>
        <v>73265652.979999989</v>
      </c>
      <c r="AP115" s="128">
        <f t="shared" ref="AP115:AS115" si="194">+SUM(AP116:AP117)</f>
        <v>0</v>
      </c>
      <c r="AQ115" s="128">
        <f t="shared" si="194"/>
        <v>0</v>
      </c>
      <c r="AR115" s="128">
        <f t="shared" si="194"/>
        <v>0</v>
      </c>
      <c r="AS115" s="128">
        <f t="shared" si="194"/>
        <v>0</v>
      </c>
      <c r="AT115" s="46"/>
    </row>
    <row r="116" spans="1:46" ht="57" x14ac:dyDescent="0.35">
      <c r="B116" s="130" t="s">
        <v>203</v>
      </c>
      <c r="C116" s="130" t="s">
        <v>403</v>
      </c>
      <c r="D116" s="130"/>
      <c r="E116" s="131"/>
      <c r="F116" s="132">
        <v>182278082</v>
      </c>
      <c r="G116" s="132">
        <v>214699190</v>
      </c>
      <c r="H116" s="132">
        <f>SUM(I116:N116)</f>
        <v>199917000</v>
      </c>
      <c r="I116" s="132">
        <v>199917000</v>
      </c>
      <c r="J116" s="133"/>
      <c r="K116" s="133"/>
      <c r="L116" s="133"/>
      <c r="M116" s="132"/>
      <c r="N116" s="132"/>
      <c r="O116" s="132"/>
      <c r="P116" s="132"/>
      <c r="Q116" s="132"/>
      <c r="R116" s="132"/>
      <c r="S116" s="134"/>
      <c r="T116" s="132">
        <v>199917000</v>
      </c>
      <c r="U116" s="132">
        <v>85538829.640000001</v>
      </c>
      <c r="V116" s="132">
        <v>0</v>
      </c>
      <c r="W116" s="132"/>
      <c r="X116" s="132"/>
      <c r="Y116" s="132"/>
      <c r="Z116" s="132">
        <f t="shared" ref="Z116:Z117" si="195">SUM(U116:Y116)</f>
        <v>85538829.640000001</v>
      </c>
      <c r="AA116" s="132">
        <f t="shared" ref="AA116:AA117" si="196">SUM(T116-Z116)</f>
        <v>114378170.36</v>
      </c>
      <c r="AB116" s="132">
        <f t="shared" ref="AB116:AB117" si="197">SUM(AC116:AE116)</f>
        <v>0</v>
      </c>
      <c r="AC116" s="132"/>
      <c r="AD116" s="132"/>
      <c r="AE116" s="132"/>
      <c r="AF116" s="134"/>
      <c r="AG116" s="90">
        <v>199917000</v>
      </c>
      <c r="AH116" s="90">
        <v>128400657.54000001</v>
      </c>
      <c r="AI116" s="90">
        <v>0</v>
      </c>
      <c r="AJ116" s="90"/>
      <c r="AK116" s="90"/>
      <c r="AL116" s="90"/>
      <c r="AM116" s="90">
        <f t="shared" ref="AM116:AM117" si="198">SUM(AH116:AL116)</f>
        <v>128400657.54000001</v>
      </c>
      <c r="AN116" s="90">
        <v>0</v>
      </c>
      <c r="AO116" s="90">
        <f>SUM(AG116-AM116)</f>
        <v>71516342.459999993</v>
      </c>
      <c r="AP116" s="132">
        <f t="shared" ref="AP116:AP117" si="199">SUM(AQ116:AS116)</f>
        <v>0</v>
      </c>
      <c r="AQ116" s="132"/>
      <c r="AR116" s="132"/>
      <c r="AS116" s="132"/>
      <c r="AT116" s="47"/>
    </row>
    <row r="117" spans="1:46" ht="57" x14ac:dyDescent="0.35">
      <c r="B117" s="130" t="s">
        <v>206</v>
      </c>
      <c r="C117" s="130" t="s">
        <v>404</v>
      </c>
      <c r="D117" s="130"/>
      <c r="E117" s="131"/>
      <c r="F117" s="132">
        <v>50331</v>
      </c>
      <c r="G117" s="132">
        <v>72067</v>
      </c>
      <c r="H117" s="132">
        <f>SUM(I117:N117)</f>
        <v>2150331</v>
      </c>
      <c r="I117" s="132">
        <v>2150331</v>
      </c>
      <c r="J117" s="133"/>
      <c r="K117" s="133"/>
      <c r="L117" s="133"/>
      <c r="M117" s="132"/>
      <c r="N117" s="132"/>
      <c r="O117" s="132"/>
      <c r="P117" s="132"/>
      <c r="Q117" s="132"/>
      <c r="R117" s="132"/>
      <c r="S117" s="134"/>
      <c r="T117" s="132">
        <v>2150331</v>
      </c>
      <c r="U117" s="132"/>
      <c r="V117" s="132">
        <v>66730.58</v>
      </c>
      <c r="W117" s="132"/>
      <c r="X117" s="132"/>
      <c r="Y117" s="132"/>
      <c r="Z117" s="132">
        <f t="shared" si="195"/>
        <v>66730.58</v>
      </c>
      <c r="AA117" s="132">
        <f t="shared" si="196"/>
        <v>2083600.42</v>
      </c>
      <c r="AB117" s="132">
        <f t="shared" si="197"/>
        <v>0</v>
      </c>
      <c r="AC117" s="132"/>
      <c r="AD117" s="132"/>
      <c r="AE117" s="132"/>
      <c r="AF117" s="134"/>
      <c r="AG117" s="90">
        <v>2150331</v>
      </c>
      <c r="AH117" s="90"/>
      <c r="AI117" s="90">
        <v>401020.48</v>
      </c>
      <c r="AJ117" s="90"/>
      <c r="AK117" s="90"/>
      <c r="AL117" s="90"/>
      <c r="AM117" s="90">
        <f t="shared" si="198"/>
        <v>401020.48</v>
      </c>
      <c r="AN117" s="90">
        <v>0</v>
      </c>
      <c r="AO117" s="90">
        <f>SUM(AG117-AM117)</f>
        <v>1749310.52</v>
      </c>
      <c r="AP117" s="132">
        <f t="shared" si="199"/>
        <v>0</v>
      </c>
      <c r="AQ117" s="132"/>
      <c r="AR117" s="132"/>
      <c r="AS117" s="132"/>
      <c r="AT117" s="47"/>
    </row>
    <row r="118" spans="1:46" ht="28.5" x14ac:dyDescent="0.35">
      <c r="B118" s="161"/>
      <c r="C118" s="161"/>
      <c r="D118" s="161"/>
      <c r="E118" s="136"/>
      <c r="F118" s="125"/>
      <c r="G118" s="125"/>
      <c r="H118" s="125"/>
      <c r="I118" s="125"/>
      <c r="J118" s="125"/>
      <c r="K118" s="125"/>
      <c r="L118" s="125"/>
      <c r="M118" s="125"/>
      <c r="N118" s="125"/>
      <c r="O118" s="125"/>
      <c r="P118" s="125"/>
      <c r="Q118" s="125"/>
      <c r="R118" s="125"/>
      <c r="S118" s="126"/>
      <c r="T118" s="125"/>
      <c r="U118" s="125"/>
      <c r="V118" s="125"/>
      <c r="W118" s="125"/>
      <c r="X118" s="125"/>
      <c r="Y118" s="125"/>
      <c r="Z118" s="125"/>
      <c r="AA118" s="125"/>
      <c r="AB118" s="125"/>
      <c r="AC118" s="125"/>
      <c r="AD118" s="125"/>
      <c r="AE118" s="125"/>
      <c r="AF118" s="126"/>
      <c r="AG118" s="88"/>
      <c r="AH118" s="88"/>
      <c r="AI118" s="88"/>
      <c r="AJ118" s="88"/>
      <c r="AK118" s="88"/>
      <c r="AL118" s="88"/>
      <c r="AM118" s="88"/>
      <c r="AN118" s="88"/>
      <c r="AO118" s="88"/>
      <c r="AP118" s="125"/>
      <c r="AQ118" s="125"/>
      <c r="AR118" s="125"/>
      <c r="AS118" s="125"/>
      <c r="AT118" s="45"/>
    </row>
    <row r="119" spans="1:46" ht="57" x14ac:dyDescent="0.65">
      <c r="A119" s="1">
        <v>2.1</v>
      </c>
      <c r="B119" s="170" t="s">
        <v>208</v>
      </c>
      <c r="C119" s="198" t="s">
        <v>440</v>
      </c>
      <c r="D119" s="199"/>
      <c r="E119" s="127"/>
      <c r="F119" s="128">
        <f t="shared" ref="F119:R119" si="200">+SUM(F120:F120)</f>
        <v>610645</v>
      </c>
      <c r="G119" s="128">
        <f t="shared" si="200"/>
        <v>583540</v>
      </c>
      <c r="H119" s="128">
        <f>+SUM(H120:H120)</f>
        <v>727200.64199999999</v>
      </c>
      <c r="I119" s="128">
        <f>+SUM(I120:I121)</f>
        <v>0</v>
      </c>
      <c r="J119" s="128">
        <f t="shared" ref="J119:K119" si="201">+SUM(J120:J121)</f>
        <v>627438</v>
      </c>
      <c r="K119" s="128">
        <f t="shared" si="201"/>
        <v>0</v>
      </c>
      <c r="L119" s="128">
        <f>+SUM(L120)</f>
        <v>99762.642000000007</v>
      </c>
      <c r="M119" s="128">
        <f t="shared" si="200"/>
        <v>0</v>
      </c>
      <c r="N119" s="128">
        <f t="shared" si="200"/>
        <v>0</v>
      </c>
      <c r="O119" s="128">
        <f t="shared" si="200"/>
        <v>727200.64199999999</v>
      </c>
      <c r="P119" s="128">
        <f t="shared" si="200"/>
        <v>627438</v>
      </c>
      <c r="Q119" s="128">
        <f t="shared" si="200"/>
        <v>0</v>
      </c>
      <c r="R119" s="128">
        <f t="shared" si="200"/>
        <v>99762.642000000007</v>
      </c>
      <c r="S119" s="141"/>
      <c r="T119" s="128">
        <v>727200.64199999999</v>
      </c>
      <c r="U119" s="128">
        <f t="shared" ref="U119:AE119" si="202">+SUM(U120:U120)</f>
        <v>0</v>
      </c>
      <c r="V119" s="128">
        <f t="shared" si="202"/>
        <v>284469.09999999998</v>
      </c>
      <c r="W119" s="128">
        <f t="shared" si="202"/>
        <v>0</v>
      </c>
      <c r="X119" s="128">
        <f t="shared" si="202"/>
        <v>0</v>
      </c>
      <c r="Y119" s="128">
        <f t="shared" si="202"/>
        <v>0</v>
      </c>
      <c r="Z119" s="128">
        <f>+SUM(Z120:Z120)</f>
        <v>284469.09999999998</v>
      </c>
      <c r="AA119" s="128">
        <f>+SUM(AA120:AA120)</f>
        <v>442731.54200000002</v>
      </c>
      <c r="AB119" s="128">
        <f t="shared" si="202"/>
        <v>0</v>
      </c>
      <c r="AC119" s="128">
        <f t="shared" si="202"/>
        <v>0</v>
      </c>
      <c r="AD119" s="128">
        <f t="shared" si="202"/>
        <v>0</v>
      </c>
      <c r="AE119" s="128">
        <f t="shared" si="202"/>
        <v>0</v>
      </c>
      <c r="AF119" s="141"/>
      <c r="AG119" s="89">
        <v>727200.64199999999</v>
      </c>
      <c r="AH119" s="89">
        <f t="shared" ref="AH119:AS119" si="203">+SUM(AH120:AH120)</f>
        <v>0</v>
      </c>
      <c r="AI119" s="89">
        <f t="shared" si="203"/>
        <v>452083.38</v>
      </c>
      <c r="AJ119" s="89">
        <f t="shared" si="203"/>
        <v>0</v>
      </c>
      <c r="AK119" s="89">
        <f t="shared" si="203"/>
        <v>0</v>
      </c>
      <c r="AL119" s="89">
        <f t="shared" si="203"/>
        <v>0</v>
      </c>
      <c r="AM119" s="89">
        <f>+SUM(AM120:AM120)</f>
        <v>452083.38</v>
      </c>
      <c r="AN119" s="89">
        <f>+SUM(AN120:AN120)</f>
        <v>0</v>
      </c>
      <c r="AO119" s="89">
        <f>+SUM(AO120:AO120)</f>
        <v>275117.26199999999</v>
      </c>
      <c r="AP119" s="128">
        <f t="shared" si="203"/>
        <v>0</v>
      </c>
      <c r="AQ119" s="128">
        <f t="shared" si="203"/>
        <v>0</v>
      </c>
      <c r="AR119" s="128">
        <f t="shared" si="203"/>
        <v>0</v>
      </c>
      <c r="AS119" s="128">
        <f t="shared" si="203"/>
        <v>0</v>
      </c>
      <c r="AT119" s="46"/>
    </row>
    <row r="120" spans="1:46" ht="85.5" x14ac:dyDescent="0.35">
      <c r="B120" s="130" t="s">
        <v>209</v>
      </c>
      <c r="C120" s="130" t="s">
        <v>405</v>
      </c>
      <c r="D120" s="130"/>
      <c r="E120" s="131"/>
      <c r="F120" s="132">
        <v>610645</v>
      </c>
      <c r="G120" s="132">
        <v>583540</v>
      </c>
      <c r="H120" s="132">
        <f>SUM(I120:N120)</f>
        <v>727200.64199999999</v>
      </c>
      <c r="I120" s="139">
        <v>0</v>
      </c>
      <c r="J120" s="132">
        <v>627438</v>
      </c>
      <c r="K120" s="132"/>
      <c r="L120" s="132">
        <f t="shared" ref="L120" si="204">SUM(J120*15.9%)</f>
        <v>99762.642000000007</v>
      </c>
      <c r="M120" s="132"/>
      <c r="N120" s="132"/>
      <c r="O120" s="132">
        <f>SUM(P120:R120)</f>
        <v>727200.64199999999</v>
      </c>
      <c r="P120" s="132">
        <f>SUM(610645+16793)</f>
        <v>627438</v>
      </c>
      <c r="Q120" s="132"/>
      <c r="R120" s="132">
        <v>99762.642000000007</v>
      </c>
      <c r="S120" s="134"/>
      <c r="T120" s="132">
        <v>727200.64199999999</v>
      </c>
      <c r="U120" s="132"/>
      <c r="V120" s="132">
        <v>284469.09999999998</v>
      </c>
      <c r="W120" s="132"/>
      <c r="X120" s="132"/>
      <c r="Y120" s="132"/>
      <c r="Z120" s="132">
        <f t="shared" ref="Z120" si="205">SUM(U120:Y120)</f>
        <v>284469.09999999998</v>
      </c>
      <c r="AA120" s="132">
        <f t="shared" ref="AA120" si="206">SUM(T120-Z120)</f>
        <v>442731.54200000002</v>
      </c>
      <c r="AB120" s="132">
        <f>SUM(AC120:AE120)</f>
        <v>0</v>
      </c>
      <c r="AC120" s="132"/>
      <c r="AD120" s="132"/>
      <c r="AE120" s="132"/>
      <c r="AF120" s="134"/>
      <c r="AG120" s="90">
        <v>727200.64199999999</v>
      </c>
      <c r="AH120" s="90"/>
      <c r="AI120" s="90">
        <v>452083.38</v>
      </c>
      <c r="AJ120" s="90"/>
      <c r="AK120" s="90"/>
      <c r="AL120" s="90"/>
      <c r="AM120" s="90">
        <f t="shared" ref="AM120" si="207">SUM(AH120:AL120)</f>
        <v>452083.38</v>
      </c>
      <c r="AN120" s="90">
        <v>0</v>
      </c>
      <c r="AO120" s="90">
        <f>SUM(AG120-AM120)</f>
        <v>275117.26199999999</v>
      </c>
      <c r="AP120" s="132">
        <f>SUM(AQ120:AS120)</f>
        <v>0</v>
      </c>
      <c r="AQ120" s="132"/>
      <c r="AR120" s="132"/>
      <c r="AS120" s="132"/>
      <c r="AT120" s="47"/>
    </row>
    <row r="121" spans="1:46" ht="28.5" x14ac:dyDescent="0.35">
      <c r="B121" s="161"/>
      <c r="C121" s="161"/>
      <c r="D121" s="161"/>
      <c r="E121" s="136"/>
      <c r="F121" s="125"/>
      <c r="G121" s="125"/>
      <c r="H121" s="125"/>
      <c r="I121" s="125"/>
      <c r="J121" s="125"/>
      <c r="K121" s="125"/>
      <c r="L121" s="125"/>
      <c r="M121" s="125"/>
      <c r="N121" s="125"/>
      <c r="O121" s="125"/>
      <c r="P121" s="125"/>
      <c r="Q121" s="125"/>
      <c r="R121" s="125"/>
      <c r="S121" s="126"/>
      <c r="T121" s="125"/>
      <c r="U121" s="125"/>
      <c r="V121" s="125"/>
      <c r="W121" s="125"/>
      <c r="X121" s="125"/>
      <c r="Y121" s="125"/>
      <c r="Z121" s="125"/>
      <c r="AA121" s="125"/>
      <c r="AB121" s="125"/>
      <c r="AC121" s="125"/>
      <c r="AD121" s="125"/>
      <c r="AE121" s="125"/>
      <c r="AF121" s="126"/>
      <c r="AG121" s="88"/>
      <c r="AH121" s="88"/>
      <c r="AI121" s="88"/>
      <c r="AJ121" s="88"/>
      <c r="AK121" s="88"/>
      <c r="AL121" s="88"/>
      <c r="AM121" s="88"/>
      <c r="AN121" s="88"/>
      <c r="AO121" s="88"/>
      <c r="AP121" s="125"/>
      <c r="AQ121" s="125"/>
      <c r="AR121" s="125"/>
      <c r="AS121" s="125"/>
      <c r="AT121" s="45"/>
    </row>
    <row r="122" spans="1:46" ht="58.5" customHeight="1" x14ac:dyDescent="0.65">
      <c r="A122" s="1">
        <v>2.11</v>
      </c>
      <c r="B122" s="170" t="s">
        <v>212</v>
      </c>
      <c r="C122" s="198" t="s">
        <v>441</v>
      </c>
      <c r="D122" s="199"/>
      <c r="E122" s="127"/>
      <c r="F122" s="128">
        <f t="shared" ref="F122:R122" si="208">+SUM(F123:F123)</f>
        <v>300000</v>
      </c>
      <c r="G122" s="128">
        <f t="shared" si="208"/>
        <v>33310</v>
      </c>
      <c r="H122" s="128">
        <f>+SUM(H123:H123)</f>
        <v>300000</v>
      </c>
      <c r="I122" s="128">
        <f t="shared" si="208"/>
        <v>0</v>
      </c>
      <c r="J122" s="128">
        <f t="shared" si="208"/>
        <v>0</v>
      </c>
      <c r="K122" s="128">
        <f t="shared" si="208"/>
        <v>0</v>
      </c>
      <c r="L122" s="128">
        <f t="shared" si="208"/>
        <v>0</v>
      </c>
      <c r="M122" s="128">
        <f t="shared" si="208"/>
        <v>300000</v>
      </c>
      <c r="N122" s="128">
        <f t="shared" si="208"/>
        <v>0</v>
      </c>
      <c r="O122" s="128">
        <f t="shared" si="208"/>
        <v>0</v>
      </c>
      <c r="P122" s="128">
        <f t="shared" si="208"/>
        <v>0</v>
      </c>
      <c r="Q122" s="128">
        <f t="shared" si="208"/>
        <v>0</v>
      </c>
      <c r="R122" s="128">
        <f t="shared" si="208"/>
        <v>0</v>
      </c>
      <c r="S122" s="141"/>
      <c r="T122" s="128">
        <v>300000</v>
      </c>
      <c r="U122" s="128">
        <f t="shared" ref="U122:Y122" si="209">+SUM(U123:U123)</f>
        <v>270574.59000000003</v>
      </c>
      <c r="V122" s="128">
        <f t="shared" si="209"/>
        <v>0</v>
      </c>
      <c r="W122" s="128">
        <f t="shared" si="209"/>
        <v>0</v>
      </c>
      <c r="X122" s="128">
        <f t="shared" si="209"/>
        <v>0</v>
      </c>
      <c r="Y122" s="128">
        <f t="shared" si="209"/>
        <v>0</v>
      </c>
      <c r="Z122" s="128">
        <f>+SUM(Z123:Z123)</f>
        <v>270574.59000000003</v>
      </c>
      <c r="AA122" s="128">
        <f>+SUM(AA123:AA123)</f>
        <v>29425.409999999974</v>
      </c>
      <c r="AB122" s="128">
        <f t="shared" ref="AB122:AE122" si="210">+SUM(AB123:AB123)</f>
        <v>0</v>
      </c>
      <c r="AC122" s="128">
        <f t="shared" si="210"/>
        <v>0</v>
      </c>
      <c r="AD122" s="128">
        <f t="shared" si="210"/>
        <v>0</v>
      </c>
      <c r="AE122" s="128">
        <f t="shared" si="210"/>
        <v>0</v>
      </c>
      <c r="AF122" s="141"/>
      <c r="AG122" s="89">
        <v>300000</v>
      </c>
      <c r="AH122" s="89">
        <f t="shared" ref="AH122:AL122" si="211">+SUM(AH123:AH123)</f>
        <v>384347.89</v>
      </c>
      <c r="AI122" s="89">
        <f t="shared" si="211"/>
        <v>0</v>
      </c>
      <c r="AJ122" s="89">
        <f t="shared" si="211"/>
        <v>0</v>
      </c>
      <c r="AK122" s="89">
        <f t="shared" si="211"/>
        <v>0</v>
      </c>
      <c r="AL122" s="89">
        <f t="shared" si="211"/>
        <v>0</v>
      </c>
      <c r="AM122" s="89">
        <f>+SUM(AM123:AM123)</f>
        <v>384347.89</v>
      </c>
      <c r="AN122" s="89">
        <f>+SUM(AN123:AN123)</f>
        <v>0</v>
      </c>
      <c r="AO122" s="89">
        <f>+SUM(AO123:AO123)</f>
        <v>-84347.890000000014</v>
      </c>
      <c r="AP122" s="128">
        <f t="shared" ref="AP122:AS122" si="212">+SUM(AP123:AP123)</f>
        <v>0</v>
      </c>
      <c r="AQ122" s="128">
        <f t="shared" si="212"/>
        <v>0</v>
      </c>
      <c r="AR122" s="128">
        <f t="shared" si="212"/>
        <v>0</v>
      </c>
      <c r="AS122" s="128">
        <f t="shared" si="212"/>
        <v>0</v>
      </c>
      <c r="AT122" s="46"/>
    </row>
    <row r="123" spans="1:46" ht="107.25" customHeight="1" x14ac:dyDescent="0.35">
      <c r="B123" s="160" t="s">
        <v>213</v>
      </c>
      <c r="C123" s="160" t="s">
        <v>406</v>
      </c>
      <c r="D123" s="160"/>
      <c r="E123" s="131"/>
      <c r="F123" s="132">
        <v>300000</v>
      </c>
      <c r="G123" s="132">
        <v>33310</v>
      </c>
      <c r="H123" s="132">
        <f>SUM(I123:N123)</f>
        <v>300000</v>
      </c>
      <c r="I123" s="139">
        <v>0</v>
      </c>
      <c r="J123" s="144"/>
      <c r="K123" s="144"/>
      <c r="L123" s="144"/>
      <c r="M123" s="132">
        <v>300000</v>
      </c>
      <c r="N123" s="132"/>
      <c r="O123" s="132"/>
      <c r="P123" s="132"/>
      <c r="Q123" s="139"/>
      <c r="R123" s="139"/>
      <c r="S123" s="140"/>
      <c r="T123" s="139">
        <v>300000</v>
      </c>
      <c r="U123" s="139">
        <v>270574.59000000003</v>
      </c>
      <c r="V123" s="139">
        <v>0</v>
      </c>
      <c r="W123" s="139"/>
      <c r="X123" s="132"/>
      <c r="Y123" s="132"/>
      <c r="Z123" s="132">
        <f t="shared" ref="Z123" si="213">SUM(U123:Y123)</f>
        <v>270574.59000000003</v>
      </c>
      <c r="AA123" s="132">
        <f t="shared" ref="AA123" si="214">SUM(T123-Z123)</f>
        <v>29425.409999999974</v>
      </c>
      <c r="AB123" s="132"/>
      <c r="AC123" s="132"/>
      <c r="AD123" s="139"/>
      <c r="AE123" s="139"/>
      <c r="AF123" s="140"/>
      <c r="AG123" s="91">
        <v>300000</v>
      </c>
      <c r="AH123" s="91">
        <v>384347.89</v>
      </c>
      <c r="AI123" s="91">
        <v>0</v>
      </c>
      <c r="AJ123" s="91"/>
      <c r="AK123" s="90"/>
      <c r="AL123" s="90"/>
      <c r="AM123" s="90">
        <f t="shared" ref="AM123" si="215">SUM(AH123:AL123)</f>
        <v>384347.89</v>
      </c>
      <c r="AN123" s="90">
        <v>0</v>
      </c>
      <c r="AO123" s="90">
        <f>SUM(AG123-AM123)</f>
        <v>-84347.890000000014</v>
      </c>
      <c r="AP123" s="132"/>
      <c r="AQ123" s="132"/>
      <c r="AR123" s="139"/>
      <c r="AS123" s="139"/>
      <c r="AT123" s="48"/>
    </row>
    <row r="124" spans="1:46" ht="28.5" x14ac:dyDescent="0.35">
      <c r="B124" s="161"/>
      <c r="C124" s="161"/>
      <c r="D124" s="161"/>
      <c r="E124" s="136"/>
      <c r="F124" s="125"/>
      <c r="G124" s="125"/>
      <c r="H124" s="125"/>
      <c r="I124" s="125"/>
      <c r="J124" s="125"/>
      <c r="K124" s="125"/>
      <c r="L124" s="125"/>
      <c r="M124" s="125"/>
      <c r="N124" s="125"/>
      <c r="O124" s="125"/>
      <c r="P124" s="125"/>
      <c r="Q124" s="125"/>
      <c r="R124" s="125"/>
      <c r="S124" s="126"/>
      <c r="T124" s="125"/>
      <c r="U124" s="125"/>
      <c r="V124" s="125"/>
      <c r="W124" s="125"/>
      <c r="X124" s="125"/>
      <c r="Y124" s="125"/>
      <c r="Z124" s="125"/>
      <c r="AA124" s="125"/>
      <c r="AB124" s="125"/>
      <c r="AC124" s="125"/>
      <c r="AD124" s="125"/>
      <c r="AE124" s="125"/>
      <c r="AF124" s="126"/>
      <c r="AG124" s="88"/>
      <c r="AH124" s="88"/>
      <c r="AI124" s="88"/>
      <c r="AJ124" s="88"/>
      <c r="AK124" s="88"/>
      <c r="AL124" s="88"/>
      <c r="AM124" s="88"/>
      <c r="AN124" s="88"/>
      <c r="AO124" s="88"/>
      <c r="AP124" s="125"/>
      <c r="AQ124" s="125"/>
      <c r="AR124" s="125"/>
      <c r="AS124" s="125"/>
      <c r="AT124" s="45"/>
    </row>
    <row r="125" spans="1:46" ht="57" x14ac:dyDescent="0.65">
      <c r="A125" s="1">
        <v>2.12</v>
      </c>
      <c r="B125" s="170" t="s">
        <v>216</v>
      </c>
      <c r="C125" s="198" t="s">
        <v>441</v>
      </c>
      <c r="D125" s="199"/>
      <c r="E125" s="127"/>
      <c r="F125" s="128">
        <f t="shared" ref="F125:R125" si="216">+SUM(F126:F126)</f>
        <v>0</v>
      </c>
      <c r="G125" s="128">
        <f t="shared" si="216"/>
        <v>0</v>
      </c>
      <c r="H125" s="128">
        <f>+SUM(H126:H126)</f>
        <v>6605288</v>
      </c>
      <c r="I125" s="128">
        <f t="shared" si="216"/>
        <v>0</v>
      </c>
      <c r="J125" s="128">
        <f t="shared" si="216"/>
        <v>0</v>
      </c>
      <c r="K125" s="128">
        <f t="shared" si="216"/>
        <v>6605288</v>
      </c>
      <c r="L125" s="128">
        <f t="shared" si="216"/>
        <v>0</v>
      </c>
      <c r="M125" s="128">
        <f t="shared" si="216"/>
        <v>0</v>
      </c>
      <c r="N125" s="128">
        <f t="shared" si="216"/>
        <v>0</v>
      </c>
      <c r="O125" s="128">
        <f t="shared" si="216"/>
        <v>6605288</v>
      </c>
      <c r="P125" s="128">
        <f t="shared" si="216"/>
        <v>6605288</v>
      </c>
      <c r="Q125" s="128">
        <f t="shared" si="216"/>
        <v>0</v>
      </c>
      <c r="R125" s="128">
        <f t="shared" si="216"/>
        <v>0</v>
      </c>
      <c r="S125" s="141"/>
      <c r="T125" s="128">
        <v>6605288</v>
      </c>
      <c r="U125" s="128">
        <f t="shared" ref="U125:AE125" si="217">+SUM(U126:U126)</f>
        <v>0</v>
      </c>
      <c r="V125" s="128">
        <f t="shared" si="217"/>
        <v>0</v>
      </c>
      <c r="W125" s="128">
        <f t="shared" si="217"/>
        <v>0</v>
      </c>
      <c r="X125" s="128">
        <f t="shared" si="217"/>
        <v>0</v>
      </c>
      <c r="Y125" s="128">
        <f t="shared" si="217"/>
        <v>0</v>
      </c>
      <c r="Z125" s="128">
        <f>+SUM(Z126:Z126)</f>
        <v>0</v>
      </c>
      <c r="AA125" s="128">
        <f>+SUM(AA126:AA126)</f>
        <v>6605288</v>
      </c>
      <c r="AB125" s="128">
        <f t="shared" si="217"/>
        <v>0</v>
      </c>
      <c r="AC125" s="128">
        <f t="shared" si="217"/>
        <v>0</v>
      </c>
      <c r="AD125" s="128">
        <f t="shared" si="217"/>
        <v>0</v>
      </c>
      <c r="AE125" s="128">
        <f t="shared" si="217"/>
        <v>0</v>
      </c>
      <c r="AF125" s="141"/>
      <c r="AG125" s="89">
        <v>6605288</v>
      </c>
      <c r="AH125" s="89">
        <f t="shared" ref="AH125:AS125" si="218">+SUM(AH126:AH126)</f>
        <v>0</v>
      </c>
      <c r="AI125" s="89">
        <f t="shared" si="218"/>
        <v>0</v>
      </c>
      <c r="AJ125" s="89">
        <f t="shared" si="218"/>
        <v>0</v>
      </c>
      <c r="AK125" s="89">
        <f t="shared" si="218"/>
        <v>0</v>
      </c>
      <c r="AL125" s="89">
        <f t="shared" si="218"/>
        <v>0</v>
      </c>
      <c r="AM125" s="89">
        <f>+SUM(AM126:AM126)</f>
        <v>0</v>
      </c>
      <c r="AN125" s="89">
        <f>+SUM(AN126:AN126)</f>
        <v>0</v>
      </c>
      <c r="AO125" s="89">
        <f>+SUM(AO126:AO126)</f>
        <v>6605288</v>
      </c>
      <c r="AP125" s="128">
        <f t="shared" si="218"/>
        <v>0</v>
      </c>
      <c r="AQ125" s="128">
        <f t="shared" si="218"/>
        <v>0</v>
      </c>
      <c r="AR125" s="128">
        <f t="shared" si="218"/>
        <v>0</v>
      </c>
      <c r="AS125" s="128">
        <f t="shared" si="218"/>
        <v>0</v>
      </c>
      <c r="AT125" s="46"/>
    </row>
    <row r="126" spans="1:46" ht="199.5" x14ac:dyDescent="0.35">
      <c r="B126" s="160" t="s">
        <v>217</v>
      </c>
      <c r="C126" s="160" t="s">
        <v>407</v>
      </c>
      <c r="D126" s="160"/>
      <c r="E126" s="131"/>
      <c r="F126" s="132"/>
      <c r="G126" s="132"/>
      <c r="H126" s="132">
        <f>SUM(I126:N126)</f>
        <v>6605288</v>
      </c>
      <c r="I126" s="139">
        <v>0</v>
      </c>
      <c r="J126" s="139">
        <v>0</v>
      </c>
      <c r="K126" s="139">
        <v>6605288</v>
      </c>
      <c r="L126" s="132">
        <f t="shared" ref="L126" si="219">SUM(J126*15.9%)</f>
        <v>0</v>
      </c>
      <c r="M126" s="132"/>
      <c r="N126" s="132"/>
      <c r="O126" s="132">
        <f>SUM(P126:R126)</f>
        <v>6605288</v>
      </c>
      <c r="P126" s="132">
        <v>6605288</v>
      </c>
      <c r="Q126" s="139"/>
      <c r="R126" s="139">
        <v>0</v>
      </c>
      <c r="S126" s="140"/>
      <c r="T126" s="139">
        <v>6605288</v>
      </c>
      <c r="U126" s="139"/>
      <c r="V126" s="139">
        <v>0</v>
      </c>
      <c r="W126" s="139">
        <v>0</v>
      </c>
      <c r="X126" s="132"/>
      <c r="Y126" s="132"/>
      <c r="Z126" s="132">
        <f t="shared" ref="Z126" si="220">SUM(U126:Y126)</f>
        <v>0</v>
      </c>
      <c r="AA126" s="132">
        <f t="shared" ref="AA126" si="221">SUM(T126-Z126)</f>
        <v>6605288</v>
      </c>
      <c r="AB126" s="132">
        <f>SUM(AC126:AE126)</f>
        <v>0</v>
      </c>
      <c r="AC126" s="132"/>
      <c r="AD126" s="139"/>
      <c r="AE126" s="139"/>
      <c r="AF126" s="140"/>
      <c r="AG126" s="91">
        <v>6605288</v>
      </c>
      <c r="AH126" s="91"/>
      <c r="AI126" s="91">
        <v>0</v>
      </c>
      <c r="AJ126" s="91"/>
      <c r="AK126" s="90"/>
      <c r="AL126" s="90"/>
      <c r="AM126" s="90">
        <f t="shared" ref="AM126:AN126" si="222">SUM(AH126:AL126)</f>
        <v>0</v>
      </c>
      <c r="AN126" s="90">
        <f t="shared" si="222"/>
        <v>0</v>
      </c>
      <c r="AO126" s="90">
        <f>SUM(AG126-AM126)</f>
        <v>6605288</v>
      </c>
      <c r="AP126" s="132">
        <f>SUM(AQ126:AS126)</f>
        <v>0</v>
      </c>
      <c r="AQ126" s="132"/>
      <c r="AR126" s="139"/>
      <c r="AS126" s="139"/>
      <c r="AT126" s="48"/>
    </row>
    <row r="127" spans="1:46" ht="28.5" x14ac:dyDescent="0.35">
      <c r="B127" s="161"/>
      <c r="C127" s="161"/>
      <c r="D127" s="161"/>
      <c r="E127" s="136"/>
      <c r="F127" s="125"/>
      <c r="G127" s="125"/>
      <c r="H127" s="125"/>
      <c r="I127" s="125"/>
      <c r="J127" s="125"/>
      <c r="K127" s="125"/>
      <c r="L127" s="125"/>
      <c r="M127" s="125"/>
      <c r="N127" s="125"/>
      <c r="O127" s="125"/>
      <c r="P127" s="125"/>
      <c r="Q127" s="125"/>
      <c r="R127" s="125"/>
      <c r="S127" s="126"/>
      <c r="T127" s="125"/>
      <c r="U127" s="125"/>
      <c r="V127" s="125"/>
      <c r="W127" s="125"/>
      <c r="X127" s="125"/>
      <c r="Y127" s="125"/>
      <c r="Z127" s="125"/>
      <c r="AA127" s="125"/>
      <c r="AB127" s="125"/>
      <c r="AC127" s="125"/>
      <c r="AD127" s="125"/>
      <c r="AE127" s="125"/>
      <c r="AF127" s="126"/>
      <c r="AG127" s="88"/>
      <c r="AH127" s="88"/>
      <c r="AI127" s="88"/>
      <c r="AJ127" s="88"/>
      <c r="AK127" s="88"/>
      <c r="AL127" s="88"/>
      <c r="AM127" s="88"/>
      <c r="AN127" s="88"/>
      <c r="AO127" s="88"/>
      <c r="AP127" s="125"/>
      <c r="AQ127" s="125"/>
      <c r="AR127" s="125"/>
      <c r="AS127" s="125"/>
      <c r="AT127" s="45"/>
    </row>
    <row r="128" spans="1:46" ht="28.5" x14ac:dyDescent="0.35">
      <c r="B128" s="171"/>
      <c r="C128" s="171"/>
      <c r="D128" s="171"/>
      <c r="E128" s="124"/>
      <c r="F128" s="125"/>
      <c r="G128" s="125"/>
      <c r="H128" s="125"/>
      <c r="I128" s="125"/>
      <c r="J128" s="125"/>
      <c r="K128" s="125"/>
      <c r="L128" s="125"/>
      <c r="M128" s="125"/>
      <c r="N128" s="125"/>
      <c r="O128" s="125"/>
      <c r="P128" s="125"/>
      <c r="Q128" s="125"/>
      <c r="R128" s="125"/>
      <c r="S128" s="126"/>
      <c r="T128" s="125"/>
      <c r="U128" s="125"/>
      <c r="V128" s="125"/>
      <c r="W128" s="125"/>
      <c r="X128" s="125"/>
      <c r="Y128" s="125"/>
      <c r="Z128" s="125"/>
      <c r="AA128" s="125"/>
      <c r="AB128" s="125"/>
      <c r="AC128" s="125"/>
      <c r="AD128" s="125"/>
      <c r="AE128" s="125"/>
      <c r="AF128" s="126"/>
      <c r="AG128" s="88"/>
      <c r="AH128" s="88"/>
      <c r="AI128" s="88"/>
      <c r="AJ128" s="88"/>
      <c r="AK128" s="88"/>
      <c r="AL128" s="88"/>
      <c r="AM128" s="88"/>
      <c r="AN128" s="88"/>
      <c r="AO128" s="88"/>
      <c r="AP128" s="125"/>
      <c r="AQ128" s="125"/>
      <c r="AR128" s="125"/>
      <c r="AS128" s="125"/>
      <c r="AT128" s="45"/>
    </row>
    <row r="129" spans="1:46" ht="28.5" x14ac:dyDescent="0.65">
      <c r="B129" s="169" t="s">
        <v>219</v>
      </c>
      <c r="C129" s="169"/>
      <c r="D129" s="169"/>
      <c r="E129" s="122" t="s">
        <v>220</v>
      </c>
      <c r="F129" s="123">
        <f t="shared" ref="F129:S129" si="223">+F131+F134+F141+F144+F148+F154+F158</f>
        <v>9708824</v>
      </c>
      <c r="G129" s="123">
        <f t="shared" si="223"/>
        <v>10036753</v>
      </c>
      <c r="H129" s="123">
        <f>+H131+H134+H141+H144+H148+H154+H158</f>
        <v>18893332.729000002</v>
      </c>
      <c r="I129" s="123">
        <f t="shared" si="223"/>
        <v>400000</v>
      </c>
      <c r="J129" s="123">
        <f>+J131+J134+J141+J144+J148+J154+J158</f>
        <v>15855231</v>
      </c>
      <c r="K129" s="123">
        <f t="shared" si="223"/>
        <v>0</v>
      </c>
      <c r="L129" s="123">
        <f>+L131+L134+L141+L144+L148+L154+L158</f>
        <v>2520981.7289999998</v>
      </c>
      <c r="M129" s="123">
        <f t="shared" si="223"/>
        <v>0</v>
      </c>
      <c r="N129" s="123">
        <f>+N131+N134+N141+N144+N148+N154+N158</f>
        <v>117120</v>
      </c>
      <c r="O129" s="123">
        <f t="shared" si="223"/>
        <v>18376212.729000002</v>
      </c>
      <c r="P129" s="123">
        <f t="shared" si="223"/>
        <v>9551168</v>
      </c>
      <c r="Q129" s="123">
        <f t="shared" si="223"/>
        <v>6304063</v>
      </c>
      <c r="R129" s="123">
        <f t="shared" si="223"/>
        <v>2520981.7289999998</v>
      </c>
      <c r="S129" s="123">
        <f t="shared" si="223"/>
        <v>0</v>
      </c>
      <c r="T129" s="123">
        <v>18893332.729000002</v>
      </c>
      <c r="U129" s="123">
        <f t="shared" ref="U129:AF129" si="224">+U131+U134+U141+U144+U148+U154+U158</f>
        <v>0</v>
      </c>
      <c r="V129" s="123">
        <f t="shared" si="224"/>
        <v>5536986.0800000001</v>
      </c>
      <c r="W129" s="123">
        <f t="shared" si="224"/>
        <v>0</v>
      </c>
      <c r="X129" s="123">
        <f t="shared" si="224"/>
        <v>0</v>
      </c>
      <c r="Y129" s="123">
        <f t="shared" si="224"/>
        <v>70425.02</v>
      </c>
      <c r="Z129" s="123">
        <f>+Z131+Z134+Z141+Z144+Z148+Z154+Z158</f>
        <v>5607411.1000000006</v>
      </c>
      <c r="AA129" s="123">
        <f>+AA131+AA134+AA141+AA144+AA148+AA154+AA158</f>
        <v>13285921.629000001</v>
      </c>
      <c r="AB129" s="123">
        <f t="shared" si="224"/>
        <v>0</v>
      </c>
      <c r="AC129" s="123">
        <f t="shared" si="224"/>
        <v>0</v>
      </c>
      <c r="AD129" s="123">
        <f t="shared" si="224"/>
        <v>0</v>
      </c>
      <c r="AE129" s="123">
        <f t="shared" si="224"/>
        <v>0</v>
      </c>
      <c r="AF129" s="123">
        <f t="shared" si="224"/>
        <v>0</v>
      </c>
      <c r="AG129" s="87">
        <v>18893332.729000002</v>
      </c>
      <c r="AH129" s="87">
        <f t="shared" ref="AH129:AL129" si="225">+AH131+AH134+AH141+AH144+AH148+AH154+AH158</f>
        <v>0</v>
      </c>
      <c r="AI129" s="87">
        <f t="shared" si="225"/>
        <v>8589359.6400000006</v>
      </c>
      <c r="AJ129" s="87">
        <f t="shared" si="225"/>
        <v>0</v>
      </c>
      <c r="AK129" s="87">
        <f t="shared" si="225"/>
        <v>0</v>
      </c>
      <c r="AL129" s="87">
        <f t="shared" si="225"/>
        <v>105592.33</v>
      </c>
      <c r="AM129" s="87">
        <f>+AM131+AM134+AM141+AM144+AM148+AM154+AM158</f>
        <v>8694951.9700000007</v>
      </c>
      <c r="AN129" s="87">
        <f>+AN131+AN134+AN141+AN144+AN148+AN154+AN158</f>
        <v>0</v>
      </c>
      <c r="AO129" s="87">
        <f>+AO131+AO134+AO141+AO144+AO148+AO154+AO158</f>
        <v>10198380.759000001</v>
      </c>
      <c r="AP129" s="123">
        <f t="shared" ref="AP129:AT129" si="226">+AP131+AP134+AP141+AP144+AP148+AP154+AP158</f>
        <v>0</v>
      </c>
      <c r="AQ129" s="123">
        <f t="shared" si="226"/>
        <v>0</v>
      </c>
      <c r="AR129" s="123">
        <f t="shared" si="226"/>
        <v>0</v>
      </c>
      <c r="AS129" s="123">
        <f t="shared" si="226"/>
        <v>0</v>
      </c>
      <c r="AT129" s="8">
        <f t="shared" si="226"/>
        <v>0</v>
      </c>
    </row>
    <row r="130" spans="1:46" ht="28.5" x14ac:dyDescent="0.65">
      <c r="B130" s="121" t="s">
        <v>221</v>
      </c>
      <c r="C130" s="191"/>
      <c r="D130" s="121"/>
      <c r="E130" s="124"/>
      <c r="F130" s="125"/>
      <c r="G130" s="125"/>
      <c r="H130" s="125"/>
      <c r="I130" s="125"/>
      <c r="J130" s="125"/>
      <c r="K130" s="125"/>
      <c r="L130" s="125"/>
      <c r="M130" s="125"/>
      <c r="N130" s="125"/>
      <c r="O130" s="125"/>
      <c r="P130" s="125"/>
      <c r="Q130" s="125"/>
      <c r="R130" s="125"/>
      <c r="S130" s="126"/>
      <c r="T130" s="125"/>
      <c r="U130" s="125"/>
      <c r="V130" s="125"/>
      <c r="W130" s="125"/>
      <c r="X130" s="125"/>
      <c r="Y130" s="125"/>
      <c r="Z130" s="125"/>
      <c r="AA130" s="125"/>
      <c r="AB130" s="125"/>
      <c r="AC130" s="125"/>
      <c r="AD130" s="125"/>
      <c r="AE130" s="125"/>
      <c r="AF130" s="126"/>
      <c r="AG130" s="88"/>
      <c r="AH130" s="88"/>
      <c r="AI130" s="88"/>
      <c r="AJ130" s="88"/>
      <c r="AK130" s="88"/>
      <c r="AL130" s="88"/>
      <c r="AM130" s="88"/>
      <c r="AN130" s="88"/>
      <c r="AO130" s="88"/>
      <c r="AP130" s="125"/>
      <c r="AQ130" s="125"/>
      <c r="AR130" s="125"/>
      <c r="AS130" s="125"/>
      <c r="AT130" s="45"/>
    </row>
    <row r="131" spans="1:46" ht="57" x14ac:dyDescent="0.65">
      <c r="A131" s="1">
        <v>3.1</v>
      </c>
      <c r="B131" s="170" t="s">
        <v>222</v>
      </c>
      <c r="C131" s="198" t="s">
        <v>442</v>
      </c>
      <c r="D131" s="199"/>
      <c r="E131" s="127"/>
      <c r="F131" s="128">
        <f t="shared" ref="F131:R131" si="227">+SUM(F132:F132)</f>
        <v>117120</v>
      </c>
      <c r="G131" s="128">
        <f t="shared" si="227"/>
        <v>46985</v>
      </c>
      <c r="H131" s="128">
        <f>+SUM(H132:H132)</f>
        <v>117120</v>
      </c>
      <c r="I131" s="128">
        <f t="shared" si="227"/>
        <v>0</v>
      </c>
      <c r="J131" s="128">
        <f t="shared" si="227"/>
        <v>0</v>
      </c>
      <c r="K131" s="128">
        <f t="shared" si="227"/>
        <v>0</v>
      </c>
      <c r="L131" s="128">
        <f t="shared" si="227"/>
        <v>0</v>
      </c>
      <c r="M131" s="128">
        <f t="shared" si="227"/>
        <v>0</v>
      </c>
      <c r="N131" s="128">
        <f t="shared" si="227"/>
        <v>117120</v>
      </c>
      <c r="O131" s="128">
        <f t="shared" si="227"/>
        <v>0</v>
      </c>
      <c r="P131" s="128">
        <f t="shared" si="227"/>
        <v>0</v>
      </c>
      <c r="Q131" s="128">
        <f t="shared" si="227"/>
        <v>0</v>
      </c>
      <c r="R131" s="128">
        <f t="shared" si="227"/>
        <v>0</v>
      </c>
      <c r="S131" s="141"/>
      <c r="T131" s="128">
        <v>117120</v>
      </c>
      <c r="U131" s="128">
        <f t="shared" ref="U131:Y131" si="228">+SUM(U132:U132)</f>
        <v>0</v>
      </c>
      <c r="V131" s="128">
        <f t="shared" si="228"/>
        <v>0</v>
      </c>
      <c r="W131" s="128">
        <f t="shared" si="228"/>
        <v>0</v>
      </c>
      <c r="X131" s="128">
        <f t="shared" si="228"/>
        <v>0</v>
      </c>
      <c r="Y131" s="128">
        <f t="shared" si="228"/>
        <v>70425.02</v>
      </c>
      <c r="Z131" s="128">
        <f>+SUM(Z132:Z132)</f>
        <v>70425.02</v>
      </c>
      <c r="AA131" s="128">
        <f>+SUM(AA132:AA132)</f>
        <v>46694.979999999996</v>
      </c>
      <c r="AB131" s="128">
        <f t="shared" ref="AB131:AE131" si="229">+SUM(AB132:AB132)</f>
        <v>0</v>
      </c>
      <c r="AC131" s="128">
        <f t="shared" si="229"/>
        <v>0</v>
      </c>
      <c r="AD131" s="128">
        <f t="shared" si="229"/>
        <v>0</v>
      </c>
      <c r="AE131" s="128">
        <f t="shared" si="229"/>
        <v>0</v>
      </c>
      <c r="AF131" s="141"/>
      <c r="AG131" s="89">
        <v>117120</v>
      </c>
      <c r="AH131" s="89">
        <f t="shared" ref="AH131:AL131" si="230">+SUM(AH132:AH132)</f>
        <v>0</v>
      </c>
      <c r="AI131" s="89">
        <f t="shared" si="230"/>
        <v>0</v>
      </c>
      <c r="AJ131" s="89">
        <f t="shared" si="230"/>
        <v>0</v>
      </c>
      <c r="AK131" s="89">
        <f t="shared" si="230"/>
        <v>0</v>
      </c>
      <c r="AL131" s="89">
        <f t="shared" si="230"/>
        <v>105592.33</v>
      </c>
      <c r="AM131" s="89">
        <f>+SUM(AM132:AM132)</f>
        <v>105592.33</v>
      </c>
      <c r="AN131" s="89">
        <f>+SUM(AN132:AN132)</f>
        <v>0</v>
      </c>
      <c r="AO131" s="89">
        <f>+SUM(AO132:AO132)</f>
        <v>11527.669999999998</v>
      </c>
      <c r="AP131" s="128">
        <f t="shared" ref="AP131:AS131" si="231">+SUM(AP132:AP132)</f>
        <v>0</v>
      </c>
      <c r="AQ131" s="128">
        <f t="shared" si="231"/>
        <v>0</v>
      </c>
      <c r="AR131" s="128">
        <f t="shared" si="231"/>
        <v>0</v>
      </c>
      <c r="AS131" s="128">
        <f t="shared" si="231"/>
        <v>0</v>
      </c>
      <c r="AT131" s="46"/>
    </row>
    <row r="132" spans="1:46" ht="85.5" x14ac:dyDescent="0.35">
      <c r="B132" s="130" t="s">
        <v>223</v>
      </c>
      <c r="C132" s="130" t="s">
        <v>408</v>
      </c>
      <c r="D132" s="130"/>
      <c r="E132" s="131"/>
      <c r="F132" s="132">
        <v>117120</v>
      </c>
      <c r="G132" s="132">
        <v>46985</v>
      </c>
      <c r="H132" s="132">
        <f>SUM(I132:N132)</f>
        <v>117120</v>
      </c>
      <c r="I132" s="139"/>
      <c r="J132" s="144"/>
      <c r="K132" s="144"/>
      <c r="L132" s="144"/>
      <c r="M132" s="132"/>
      <c r="N132" s="132">
        <v>117120</v>
      </c>
      <c r="O132" s="132"/>
      <c r="P132" s="132"/>
      <c r="Q132" s="139"/>
      <c r="R132" s="139"/>
      <c r="S132" s="140"/>
      <c r="T132" s="139">
        <v>117120</v>
      </c>
      <c r="U132" s="139"/>
      <c r="V132" s="139"/>
      <c r="W132" s="139"/>
      <c r="X132" s="132"/>
      <c r="Y132" s="132">
        <v>70425.02</v>
      </c>
      <c r="Z132" s="132">
        <f t="shared" ref="Z132" si="232">SUM(U132:Y132)</f>
        <v>70425.02</v>
      </c>
      <c r="AA132" s="132">
        <f t="shared" ref="AA132" si="233">SUM(T132-Z132)</f>
        <v>46694.979999999996</v>
      </c>
      <c r="AB132" s="132"/>
      <c r="AC132" s="132"/>
      <c r="AD132" s="139"/>
      <c r="AE132" s="139"/>
      <c r="AF132" s="140"/>
      <c r="AG132" s="91">
        <v>117120</v>
      </c>
      <c r="AH132" s="91"/>
      <c r="AI132" s="91">
        <v>0</v>
      </c>
      <c r="AJ132" s="91"/>
      <c r="AK132" s="90"/>
      <c r="AL132" s="90">
        <v>105592.33</v>
      </c>
      <c r="AM132" s="90">
        <f t="shared" ref="AM132" si="234">SUM(AH132:AL132)</f>
        <v>105592.33</v>
      </c>
      <c r="AN132" s="90">
        <v>0</v>
      </c>
      <c r="AO132" s="90">
        <f>SUM(AG132-AM132)</f>
        <v>11527.669999999998</v>
      </c>
      <c r="AP132" s="132"/>
      <c r="AQ132" s="132"/>
      <c r="AR132" s="139"/>
      <c r="AS132" s="139"/>
      <c r="AT132" s="48"/>
    </row>
    <row r="133" spans="1:46" ht="28.5" x14ac:dyDescent="0.35">
      <c r="B133" s="161"/>
      <c r="C133" s="161"/>
      <c r="D133" s="161"/>
      <c r="E133" s="162"/>
      <c r="F133" s="125"/>
      <c r="G133" s="125"/>
      <c r="H133" s="125"/>
      <c r="I133" s="163"/>
      <c r="J133" s="163"/>
      <c r="K133" s="163"/>
      <c r="L133" s="163"/>
      <c r="M133" s="125"/>
      <c r="N133" s="125"/>
      <c r="O133" s="125"/>
      <c r="P133" s="125"/>
      <c r="Q133" s="163"/>
      <c r="R133" s="163"/>
      <c r="S133" s="164"/>
      <c r="T133" s="163"/>
      <c r="U133" s="163"/>
      <c r="V133" s="163"/>
      <c r="W133" s="163"/>
      <c r="X133" s="125"/>
      <c r="Y133" s="125"/>
      <c r="Z133" s="125"/>
      <c r="AA133" s="125"/>
      <c r="AB133" s="125"/>
      <c r="AC133" s="125"/>
      <c r="AD133" s="163"/>
      <c r="AE133" s="163"/>
      <c r="AF133" s="164"/>
      <c r="AG133" s="95"/>
      <c r="AH133" s="95"/>
      <c r="AI133" s="95"/>
      <c r="AJ133" s="95"/>
      <c r="AK133" s="88"/>
      <c r="AL133" s="88"/>
      <c r="AM133" s="88"/>
      <c r="AN133" s="88"/>
      <c r="AO133" s="88"/>
      <c r="AP133" s="125"/>
      <c r="AQ133" s="125"/>
      <c r="AR133" s="163"/>
      <c r="AS133" s="163"/>
      <c r="AT133" s="66"/>
    </row>
    <row r="134" spans="1:46" ht="57" x14ac:dyDescent="0.65">
      <c r="A134" s="1">
        <v>3.2</v>
      </c>
      <c r="B134" s="170" t="s">
        <v>226</v>
      </c>
      <c r="C134" s="198" t="s">
        <v>442</v>
      </c>
      <c r="D134" s="199"/>
      <c r="E134" s="127"/>
      <c r="F134" s="128">
        <f t="shared" ref="F134:R134" si="235">+SUM(F135:F139)</f>
        <v>1388322</v>
      </c>
      <c r="G134" s="128">
        <f t="shared" si="235"/>
        <v>1100216</v>
      </c>
      <c r="H134" s="128">
        <f>+SUM(H135:H139)</f>
        <v>6861488.6200000001</v>
      </c>
      <c r="I134" s="128">
        <f t="shared" si="235"/>
        <v>0</v>
      </c>
      <c r="J134" s="128">
        <f t="shared" si="235"/>
        <v>5920180</v>
      </c>
      <c r="K134" s="128">
        <f t="shared" si="235"/>
        <v>0</v>
      </c>
      <c r="L134" s="128">
        <f t="shared" ref="L134" si="236">+SUM(L135:L139)</f>
        <v>941308.62</v>
      </c>
      <c r="M134" s="128">
        <f t="shared" si="235"/>
        <v>0</v>
      </c>
      <c r="N134" s="128">
        <f t="shared" si="235"/>
        <v>0</v>
      </c>
      <c r="O134" s="128">
        <f t="shared" si="235"/>
        <v>6861488.6200000001</v>
      </c>
      <c r="P134" s="128">
        <f t="shared" si="235"/>
        <v>3345680</v>
      </c>
      <c r="Q134" s="128">
        <f t="shared" ref="Q134" si="237">+SUM(Q135:Q139)</f>
        <v>2574500</v>
      </c>
      <c r="R134" s="128">
        <f t="shared" si="235"/>
        <v>941308.62</v>
      </c>
      <c r="S134" s="141"/>
      <c r="T134" s="128">
        <v>6861488.6200000001</v>
      </c>
      <c r="U134" s="128">
        <f t="shared" ref="U134:AE134" si="238">+SUM(U135:U139)</f>
        <v>0</v>
      </c>
      <c r="V134" s="128">
        <f t="shared" si="238"/>
        <v>799056.45</v>
      </c>
      <c r="W134" s="128">
        <f t="shared" si="238"/>
        <v>0</v>
      </c>
      <c r="X134" s="128">
        <f t="shared" si="238"/>
        <v>0</v>
      </c>
      <c r="Y134" s="128">
        <f t="shared" si="238"/>
        <v>0</v>
      </c>
      <c r="Z134" s="128">
        <f>+SUM(Z135:Z139)</f>
        <v>799056.45</v>
      </c>
      <c r="AA134" s="128">
        <f>+SUM(AA135:AA139)</f>
        <v>6062432.1699999999</v>
      </c>
      <c r="AB134" s="128">
        <f t="shared" si="238"/>
        <v>0</v>
      </c>
      <c r="AC134" s="128">
        <f t="shared" si="238"/>
        <v>0</v>
      </c>
      <c r="AD134" s="128">
        <f t="shared" si="238"/>
        <v>0</v>
      </c>
      <c r="AE134" s="128">
        <f t="shared" si="238"/>
        <v>0</v>
      </c>
      <c r="AF134" s="141"/>
      <c r="AG134" s="89">
        <v>6861488.6200000001</v>
      </c>
      <c r="AH134" s="89">
        <f t="shared" ref="AH134:AL134" si="239">+SUM(AH135:AH139)</f>
        <v>0</v>
      </c>
      <c r="AI134" s="89">
        <f t="shared" si="239"/>
        <v>923041.5</v>
      </c>
      <c r="AJ134" s="89">
        <f t="shared" si="239"/>
        <v>0</v>
      </c>
      <c r="AK134" s="89">
        <f t="shared" si="239"/>
        <v>0</v>
      </c>
      <c r="AL134" s="89">
        <f t="shared" si="239"/>
        <v>0</v>
      </c>
      <c r="AM134" s="89">
        <f>+SUM(AM135:AM139)</f>
        <v>923041.5</v>
      </c>
      <c r="AN134" s="89">
        <f>+SUM(AN135:AN139)</f>
        <v>0</v>
      </c>
      <c r="AO134" s="89">
        <f>+SUM(AO135:AO139)</f>
        <v>5938447.1200000001</v>
      </c>
      <c r="AP134" s="128">
        <f t="shared" ref="AP134:AS134" si="240">+SUM(AP135:AP139)</f>
        <v>0</v>
      </c>
      <c r="AQ134" s="128">
        <f t="shared" si="240"/>
        <v>0</v>
      </c>
      <c r="AR134" s="128">
        <f t="shared" si="240"/>
        <v>0</v>
      </c>
      <c r="AS134" s="128">
        <f t="shared" si="240"/>
        <v>0</v>
      </c>
      <c r="AT134" s="46"/>
    </row>
    <row r="135" spans="1:46" ht="110.5" customHeight="1" x14ac:dyDescent="0.35">
      <c r="B135" s="130" t="s">
        <v>227</v>
      </c>
      <c r="C135" s="130" t="s">
        <v>448</v>
      </c>
      <c r="D135" s="130"/>
      <c r="E135" s="131"/>
      <c r="F135" s="132">
        <v>205529</v>
      </c>
      <c r="G135" s="132">
        <v>205320</v>
      </c>
      <c r="H135" s="132">
        <f>SUM(I135:N135)</f>
        <v>244758.77900000001</v>
      </c>
      <c r="I135" s="139"/>
      <c r="J135" s="139">
        <v>211181</v>
      </c>
      <c r="K135" s="139"/>
      <c r="L135" s="132">
        <f t="shared" ref="L135:L139" si="241">SUM(J135*15.9%)</f>
        <v>33577.779000000002</v>
      </c>
      <c r="M135" s="132"/>
      <c r="N135" s="132"/>
      <c r="O135" s="132">
        <f>SUM(P135:R135)</f>
        <v>244758.77900000001</v>
      </c>
      <c r="P135" s="132">
        <f>SUM(205529+5652)</f>
        <v>211181</v>
      </c>
      <c r="Q135" s="139"/>
      <c r="R135" s="139">
        <v>33577.779000000002</v>
      </c>
      <c r="S135" s="140"/>
      <c r="T135" s="139">
        <v>244758.77900000001</v>
      </c>
      <c r="U135" s="139"/>
      <c r="V135" s="139">
        <v>116902.01</v>
      </c>
      <c r="W135" s="139"/>
      <c r="X135" s="132"/>
      <c r="Y135" s="132"/>
      <c r="Z135" s="132">
        <f t="shared" ref="Z135:Z139" si="242">SUM(U135:Y135)</f>
        <v>116902.01</v>
      </c>
      <c r="AA135" s="132">
        <f t="shared" ref="AA135:AA139" si="243">SUM(T135-Z135)</f>
        <v>127856.76900000001</v>
      </c>
      <c r="AB135" s="132">
        <f>SUM(AC135:AE135)</f>
        <v>0</v>
      </c>
      <c r="AC135" s="132"/>
      <c r="AD135" s="139"/>
      <c r="AE135" s="139"/>
      <c r="AF135" s="140"/>
      <c r="AG135" s="91">
        <v>244758.77900000001</v>
      </c>
      <c r="AH135" s="91"/>
      <c r="AI135" s="91">
        <v>178228.02</v>
      </c>
      <c r="AJ135" s="91"/>
      <c r="AK135" s="90"/>
      <c r="AL135" s="90"/>
      <c r="AM135" s="90">
        <f t="shared" ref="AM135:AN139" si="244">SUM(AH135:AL135)</f>
        <v>178228.02</v>
      </c>
      <c r="AN135" s="90">
        <v>0</v>
      </c>
      <c r="AO135" s="90">
        <f>SUM(AG135-AM135)</f>
        <v>66530.75900000002</v>
      </c>
      <c r="AP135" s="132">
        <f>SUM(AQ135:AS135)</f>
        <v>0</v>
      </c>
      <c r="AQ135" s="132"/>
      <c r="AR135" s="139"/>
      <c r="AS135" s="139"/>
      <c r="AT135" s="48"/>
    </row>
    <row r="136" spans="1:46" ht="114" x14ac:dyDescent="0.35">
      <c r="B136" s="130" t="s">
        <v>230</v>
      </c>
      <c r="C136" s="130" t="s">
        <v>409</v>
      </c>
      <c r="D136" s="130"/>
      <c r="E136" s="131"/>
      <c r="F136" s="132">
        <f>SUM(56000+315613)</f>
        <v>371613</v>
      </c>
      <c r="G136" s="132">
        <f>SUM(55408+219700)</f>
        <v>275108</v>
      </c>
      <c r="H136" s="132">
        <f>SUM(I136:N136)</f>
        <v>440758.42800000001</v>
      </c>
      <c r="I136" s="139"/>
      <c r="J136" s="139">
        <v>380292</v>
      </c>
      <c r="K136" s="139"/>
      <c r="L136" s="132">
        <f t="shared" si="241"/>
        <v>60466.428</v>
      </c>
      <c r="M136" s="132"/>
      <c r="N136" s="132"/>
      <c r="O136" s="132">
        <f>SUM(P136:R136)</f>
        <v>440758.42800000001</v>
      </c>
      <c r="P136" s="132">
        <f>SUM(315613+8679)</f>
        <v>324292</v>
      </c>
      <c r="Q136" s="139">
        <v>56000</v>
      </c>
      <c r="R136" s="139">
        <v>60466.428</v>
      </c>
      <c r="S136" s="140"/>
      <c r="T136" s="139">
        <v>440758.42800000001</v>
      </c>
      <c r="U136" s="139"/>
      <c r="V136" s="139">
        <v>172346.29</v>
      </c>
      <c r="W136" s="139"/>
      <c r="X136" s="132"/>
      <c r="Y136" s="132"/>
      <c r="Z136" s="132">
        <f t="shared" si="242"/>
        <v>172346.29</v>
      </c>
      <c r="AA136" s="132">
        <f t="shared" si="243"/>
        <v>268412.13800000004</v>
      </c>
      <c r="AB136" s="132">
        <f>SUM(AC136:AE136)</f>
        <v>0</v>
      </c>
      <c r="AC136" s="132"/>
      <c r="AD136" s="139"/>
      <c r="AE136" s="139"/>
      <c r="AF136" s="140"/>
      <c r="AG136" s="91">
        <v>440758.42800000001</v>
      </c>
      <c r="AH136" s="91"/>
      <c r="AI136" s="91">
        <v>46513.17</v>
      </c>
      <c r="AJ136" s="91"/>
      <c r="AK136" s="90"/>
      <c r="AL136" s="90"/>
      <c r="AM136" s="90">
        <f t="shared" si="244"/>
        <v>46513.17</v>
      </c>
      <c r="AN136" s="90">
        <v>0</v>
      </c>
      <c r="AO136" s="90">
        <f>SUM(AG136-AM136)</f>
        <v>394245.25800000003</v>
      </c>
      <c r="AP136" s="132">
        <f>SUM(AQ136:AS136)</f>
        <v>0</v>
      </c>
      <c r="AQ136" s="132"/>
      <c r="AR136" s="139"/>
      <c r="AS136" s="139"/>
      <c r="AT136" s="48"/>
    </row>
    <row r="137" spans="1:46" ht="85.5" x14ac:dyDescent="0.35">
      <c r="B137" s="130" t="s">
        <v>232</v>
      </c>
      <c r="C137" s="130" t="s">
        <v>384</v>
      </c>
      <c r="D137" s="130"/>
      <c r="E137" s="131"/>
      <c r="F137" s="132">
        <f>SUM(112446+271000)</f>
        <v>383446</v>
      </c>
      <c r="G137" s="132">
        <f>SUM(109709+281203)</f>
        <v>390912</v>
      </c>
      <c r="H137" s="132">
        <f>SUM(I137:N137)</f>
        <v>456889.39</v>
      </c>
      <c r="I137" s="139"/>
      <c r="J137" s="139">
        <v>394210</v>
      </c>
      <c r="K137" s="139"/>
      <c r="L137" s="132">
        <f t="shared" si="241"/>
        <v>62679.39</v>
      </c>
      <c r="M137" s="132"/>
      <c r="N137" s="132"/>
      <c r="O137" s="132">
        <f>SUM(P137:R137)</f>
        <v>456889.39</v>
      </c>
      <c r="P137" s="132">
        <f>SUM(119912+3298)</f>
        <v>123210</v>
      </c>
      <c r="Q137" s="139">
        <v>271000</v>
      </c>
      <c r="R137" s="139">
        <v>62679.39</v>
      </c>
      <c r="S137" s="140"/>
      <c r="T137" s="139">
        <v>456889.39</v>
      </c>
      <c r="U137" s="139"/>
      <c r="V137" s="139">
        <v>267352.03999999998</v>
      </c>
      <c r="W137" s="139"/>
      <c r="X137" s="132"/>
      <c r="Y137" s="132"/>
      <c r="Z137" s="132">
        <f t="shared" si="242"/>
        <v>267352.03999999998</v>
      </c>
      <c r="AA137" s="132">
        <f t="shared" si="243"/>
        <v>189537.35000000003</v>
      </c>
      <c r="AB137" s="132">
        <f>SUM(AC137:AE137)</f>
        <v>0</v>
      </c>
      <c r="AC137" s="132"/>
      <c r="AD137" s="139"/>
      <c r="AE137" s="139"/>
      <c r="AF137" s="140"/>
      <c r="AG137" s="91">
        <v>456889.39</v>
      </c>
      <c r="AH137" s="91"/>
      <c r="AI137" s="91">
        <v>301701.17</v>
      </c>
      <c r="AJ137" s="91"/>
      <c r="AK137" s="90"/>
      <c r="AL137" s="90"/>
      <c r="AM137" s="90">
        <f t="shared" si="244"/>
        <v>301701.17</v>
      </c>
      <c r="AN137" s="90">
        <v>0</v>
      </c>
      <c r="AO137" s="90">
        <f>SUM(AG137-AM137)</f>
        <v>155188.22000000003</v>
      </c>
      <c r="AP137" s="132">
        <f>SUM(AQ137:AS137)</f>
        <v>0</v>
      </c>
      <c r="AQ137" s="132"/>
      <c r="AR137" s="139"/>
      <c r="AS137" s="139"/>
      <c r="AT137" s="48"/>
    </row>
    <row r="138" spans="1:46" ht="114" x14ac:dyDescent="0.35">
      <c r="B138" s="130" t="s">
        <v>234</v>
      </c>
      <c r="C138" s="130" t="s">
        <v>381</v>
      </c>
      <c r="D138" s="130"/>
      <c r="E138" s="131"/>
      <c r="F138" s="132">
        <v>427734</v>
      </c>
      <c r="G138" s="132">
        <v>228876</v>
      </c>
      <c r="H138" s="132">
        <f>SUM(I138:N138)</f>
        <v>509377.02299999999</v>
      </c>
      <c r="I138" s="139"/>
      <c r="J138" s="139">
        <v>439497</v>
      </c>
      <c r="K138" s="139"/>
      <c r="L138" s="132">
        <f t="shared" si="241"/>
        <v>69880.023000000001</v>
      </c>
      <c r="M138" s="132"/>
      <c r="N138" s="132"/>
      <c r="O138" s="132">
        <f>SUM(P138:R138)</f>
        <v>509377.02299999999</v>
      </c>
      <c r="P138" s="132">
        <f>SUM(427734+11763)</f>
        <v>439497</v>
      </c>
      <c r="Q138" s="139"/>
      <c r="R138" s="139">
        <v>69880.023000000001</v>
      </c>
      <c r="S138" s="140"/>
      <c r="T138" s="139">
        <v>509377.02299999999</v>
      </c>
      <c r="U138" s="139"/>
      <c r="V138" s="139">
        <v>242456.11</v>
      </c>
      <c r="W138" s="139"/>
      <c r="X138" s="132"/>
      <c r="Y138" s="132"/>
      <c r="Z138" s="132">
        <f t="shared" si="242"/>
        <v>242456.11</v>
      </c>
      <c r="AA138" s="132">
        <f t="shared" si="243"/>
        <v>266920.913</v>
      </c>
      <c r="AB138" s="132">
        <f>SUM(AC138:AE138)</f>
        <v>0</v>
      </c>
      <c r="AC138" s="132"/>
      <c r="AD138" s="139"/>
      <c r="AE138" s="139"/>
      <c r="AF138" s="140"/>
      <c r="AG138" s="91">
        <v>509377.02299999999</v>
      </c>
      <c r="AH138" s="91"/>
      <c r="AI138" s="91">
        <v>396599.14</v>
      </c>
      <c r="AJ138" s="91"/>
      <c r="AK138" s="90"/>
      <c r="AL138" s="90"/>
      <c r="AM138" s="90">
        <f t="shared" si="244"/>
        <v>396599.14</v>
      </c>
      <c r="AN138" s="90">
        <v>0</v>
      </c>
      <c r="AO138" s="90">
        <f>SUM(AG138-AM138)</f>
        <v>112777.88299999997</v>
      </c>
      <c r="AP138" s="132">
        <f>SUM(AQ138:AS138)</f>
        <v>0</v>
      </c>
      <c r="AQ138" s="132"/>
      <c r="AR138" s="139"/>
      <c r="AS138" s="139"/>
      <c r="AT138" s="48"/>
    </row>
    <row r="139" spans="1:46" ht="28.5" x14ac:dyDescent="0.35">
      <c r="B139" s="130" t="s">
        <v>236</v>
      </c>
      <c r="C139" s="130"/>
      <c r="D139" s="130"/>
      <c r="E139" s="131"/>
      <c r="F139" s="132"/>
      <c r="G139" s="132"/>
      <c r="H139" s="132">
        <f>SUM(I139:N139)</f>
        <v>5209705</v>
      </c>
      <c r="I139" s="139"/>
      <c r="J139" s="139">
        <v>4495000</v>
      </c>
      <c r="K139" s="139"/>
      <c r="L139" s="132">
        <f t="shared" si="241"/>
        <v>714705</v>
      </c>
      <c r="M139" s="132"/>
      <c r="N139" s="132"/>
      <c r="O139" s="132">
        <f>SUM(P139:R139)</f>
        <v>5209705</v>
      </c>
      <c r="P139" s="132">
        <v>2247500</v>
      </c>
      <c r="Q139" s="139">
        <v>2247500</v>
      </c>
      <c r="R139" s="139">
        <v>714705</v>
      </c>
      <c r="S139" s="140"/>
      <c r="T139" s="139">
        <v>5209705</v>
      </c>
      <c r="U139" s="139"/>
      <c r="V139" s="139">
        <v>0</v>
      </c>
      <c r="W139" s="139"/>
      <c r="X139" s="132"/>
      <c r="Y139" s="132"/>
      <c r="Z139" s="132">
        <f t="shared" si="242"/>
        <v>0</v>
      </c>
      <c r="AA139" s="132">
        <f t="shared" si="243"/>
        <v>5209705</v>
      </c>
      <c r="AB139" s="132">
        <f>SUM(AC139:AE139)</f>
        <v>0</v>
      </c>
      <c r="AC139" s="132"/>
      <c r="AD139" s="139"/>
      <c r="AE139" s="139"/>
      <c r="AF139" s="140"/>
      <c r="AG139" s="91">
        <v>5209705</v>
      </c>
      <c r="AH139" s="91"/>
      <c r="AI139" s="91">
        <v>0</v>
      </c>
      <c r="AJ139" s="91"/>
      <c r="AK139" s="90"/>
      <c r="AL139" s="90"/>
      <c r="AM139" s="90">
        <f t="shared" si="244"/>
        <v>0</v>
      </c>
      <c r="AN139" s="90">
        <f t="shared" si="244"/>
        <v>0</v>
      </c>
      <c r="AO139" s="90">
        <f>SUM(AG139-AM139)</f>
        <v>5209705</v>
      </c>
      <c r="AP139" s="132">
        <f>SUM(AQ139:AS139)</f>
        <v>0</v>
      </c>
      <c r="AQ139" s="132"/>
      <c r="AR139" s="139"/>
      <c r="AS139" s="139"/>
      <c r="AT139" s="48"/>
    </row>
    <row r="140" spans="1:46" ht="28.5" x14ac:dyDescent="0.35">
      <c r="B140" s="161"/>
      <c r="C140" s="161"/>
      <c r="D140" s="161"/>
      <c r="E140" s="136"/>
      <c r="F140" s="125"/>
      <c r="G140" s="125"/>
      <c r="H140" s="125"/>
      <c r="I140" s="125"/>
      <c r="J140" s="125"/>
      <c r="K140" s="125"/>
      <c r="L140" s="125"/>
      <c r="M140" s="125"/>
      <c r="N140" s="125"/>
      <c r="O140" s="125"/>
      <c r="P140" s="125"/>
      <c r="Q140" s="125"/>
      <c r="R140" s="125"/>
      <c r="S140" s="126"/>
      <c r="T140" s="125"/>
      <c r="U140" s="125"/>
      <c r="V140" s="125"/>
      <c r="W140" s="125"/>
      <c r="X140" s="125"/>
      <c r="Y140" s="125"/>
      <c r="Z140" s="125"/>
      <c r="AA140" s="125"/>
      <c r="AB140" s="125"/>
      <c r="AC140" s="125"/>
      <c r="AD140" s="125"/>
      <c r="AE140" s="125"/>
      <c r="AF140" s="126"/>
      <c r="AG140" s="88"/>
      <c r="AH140" s="88"/>
      <c r="AI140" s="88"/>
      <c r="AJ140" s="88"/>
      <c r="AK140" s="88"/>
      <c r="AL140" s="88"/>
      <c r="AM140" s="88"/>
      <c r="AN140" s="88"/>
      <c r="AO140" s="88"/>
      <c r="AP140" s="125"/>
      <c r="AQ140" s="125"/>
      <c r="AR140" s="125"/>
      <c r="AS140" s="125"/>
      <c r="AT140" s="45"/>
    </row>
    <row r="141" spans="1:46" ht="62.25" customHeight="1" x14ac:dyDescent="0.65">
      <c r="A141" s="1">
        <v>3.3</v>
      </c>
      <c r="B141" s="170" t="s">
        <v>237</v>
      </c>
      <c r="C141" s="198" t="s">
        <v>443</v>
      </c>
      <c r="D141" s="199"/>
      <c r="E141" s="127"/>
      <c r="F141" s="128">
        <f t="shared" ref="F141:R141" si="245">+SUM(F142:F142)</f>
        <v>400000</v>
      </c>
      <c r="G141" s="128">
        <f t="shared" si="245"/>
        <v>250000</v>
      </c>
      <c r="H141" s="128">
        <f>+SUM(H142:H142)</f>
        <v>400000</v>
      </c>
      <c r="I141" s="128">
        <f t="shared" si="245"/>
        <v>400000</v>
      </c>
      <c r="J141" s="128">
        <f t="shared" si="245"/>
        <v>0</v>
      </c>
      <c r="K141" s="128">
        <f t="shared" si="245"/>
        <v>0</v>
      </c>
      <c r="L141" s="128">
        <f t="shared" si="245"/>
        <v>0</v>
      </c>
      <c r="M141" s="128">
        <f t="shared" si="245"/>
        <v>0</v>
      </c>
      <c r="N141" s="128">
        <f t="shared" si="245"/>
        <v>0</v>
      </c>
      <c r="O141" s="128">
        <f t="shared" si="245"/>
        <v>0</v>
      </c>
      <c r="P141" s="128">
        <f t="shared" si="245"/>
        <v>0</v>
      </c>
      <c r="Q141" s="128">
        <f t="shared" si="245"/>
        <v>0</v>
      </c>
      <c r="R141" s="128">
        <f t="shared" si="245"/>
        <v>0</v>
      </c>
      <c r="S141" s="141"/>
      <c r="T141" s="128">
        <v>400000</v>
      </c>
      <c r="U141" s="128">
        <f t="shared" ref="U141:Y141" si="246">+SUM(U142:U142)</f>
        <v>0</v>
      </c>
      <c r="V141" s="128">
        <f t="shared" si="246"/>
        <v>400000</v>
      </c>
      <c r="W141" s="128">
        <f t="shared" si="246"/>
        <v>0</v>
      </c>
      <c r="X141" s="128">
        <f t="shared" si="246"/>
        <v>0</v>
      </c>
      <c r="Y141" s="128">
        <f t="shared" si="246"/>
        <v>0</v>
      </c>
      <c r="Z141" s="128">
        <f>+SUM(Z142:Z142)</f>
        <v>400000</v>
      </c>
      <c r="AA141" s="128">
        <f>+SUM(AA142:AA142)</f>
        <v>0</v>
      </c>
      <c r="AB141" s="128">
        <f t="shared" ref="AB141:AE141" si="247">+SUM(AB142:AB142)</f>
        <v>0</v>
      </c>
      <c r="AC141" s="128">
        <f t="shared" si="247"/>
        <v>0</v>
      </c>
      <c r="AD141" s="128">
        <f t="shared" si="247"/>
        <v>0</v>
      </c>
      <c r="AE141" s="128">
        <f t="shared" si="247"/>
        <v>0</v>
      </c>
      <c r="AF141" s="141"/>
      <c r="AG141" s="89">
        <v>400000</v>
      </c>
      <c r="AH141" s="89">
        <f t="shared" ref="AH141:AL141" si="248">+SUM(AH142:AH142)</f>
        <v>0</v>
      </c>
      <c r="AI141" s="89">
        <f t="shared" si="248"/>
        <v>800000</v>
      </c>
      <c r="AJ141" s="89">
        <f t="shared" si="248"/>
        <v>0</v>
      </c>
      <c r="AK141" s="89">
        <f t="shared" si="248"/>
        <v>0</v>
      </c>
      <c r="AL141" s="89">
        <f t="shared" si="248"/>
        <v>0</v>
      </c>
      <c r="AM141" s="89">
        <f>+SUM(AM142:AM142)</f>
        <v>800000</v>
      </c>
      <c r="AN141" s="89">
        <f>+SUM(AN142:AN142)</f>
        <v>0</v>
      </c>
      <c r="AO141" s="89">
        <f>+SUM(AO142:AO142)</f>
        <v>-400000</v>
      </c>
      <c r="AP141" s="128">
        <f t="shared" ref="AP141:AS141" si="249">+SUM(AP142:AP142)</f>
        <v>0</v>
      </c>
      <c r="AQ141" s="128">
        <f t="shared" si="249"/>
        <v>0</v>
      </c>
      <c r="AR141" s="128">
        <f t="shared" si="249"/>
        <v>0</v>
      </c>
      <c r="AS141" s="128">
        <f t="shared" si="249"/>
        <v>0</v>
      </c>
      <c r="AT141" s="46"/>
    </row>
    <row r="142" spans="1:46" ht="57" x14ac:dyDescent="0.35">
      <c r="B142" s="130" t="s">
        <v>238</v>
      </c>
      <c r="C142" s="130" t="s">
        <v>410</v>
      </c>
      <c r="D142" s="130"/>
      <c r="E142" s="131"/>
      <c r="F142" s="132">
        <v>400000</v>
      </c>
      <c r="G142" s="132">
        <v>250000</v>
      </c>
      <c r="H142" s="132">
        <f>SUM(I142:N142)</f>
        <v>400000</v>
      </c>
      <c r="I142" s="139">
        <v>400000</v>
      </c>
      <c r="J142" s="144"/>
      <c r="K142" s="144"/>
      <c r="L142" s="144"/>
      <c r="M142" s="132"/>
      <c r="N142" s="132"/>
      <c r="O142" s="132"/>
      <c r="P142" s="132"/>
      <c r="Q142" s="139"/>
      <c r="R142" s="139"/>
      <c r="S142" s="140"/>
      <c r="T142" s="139">
        <v>400000</v>
      </c>
      <c r="U142" s="139"/>
      <c r="V142" s="139">
        <v>400000</v>
      </c>
      <c r="W142" s="139"/>
      <c r="X142" s="132"/>
      <c r="Y142" s="132"/>
      <c r="Z142" s="132">
        <f t="shared" ref="Z142" si="250">SUM(U142:Y142)</f>
        <v>400000</v>
      </c>
      <c r="AA142" s="132">
        <f t="shared" ref="AA142" si="251">SUM(T142-Z142)</f>
        <v>0</v>
      </c>
      <c r="AB142" s="132"/>
      <c r="AC142" s="132"/>
      <c r="AD142" s="139"/>
      <c r="AE142" s="139"/>
      <c r="AF142" s="140"/>
      <c r="AG142" s="91">
        <v>400000</v>
      </c>
      <c r="AH142" s="91"/>
      <c r="AI142" s="91">
        <v>800000</v>
      </c>
      <c r="AJ142" s="91"/>
      <c r="AK142" s="90"/>
      <c r="AL142" s="90"/>
      <c r="AM142" s="90">
        <f t="shared" ref="AM142" si="252">SUM(AH142:AL142)</f>
        <v>800000</v>
      </c>
      <c r="AN142" s="90">
        <v>0</v>
      </c>
      <c r="AO142" s="90">
        <f>SUM(AG142-AM142)</f>
        <v>-400000</v>
      </c>
      <c r="AP142" s="132"/>
      <c r="AQ142" s="132"/>
      <c r="AR142" s="139"/>
      <c r="AS142" s="139"/>
      <c r="AT142" s="48"/>
    </row>
    <row r="143" spans="1:46" ht="28.5" x14ac:dyDescent="0.35">
      <c r="B143" s="161"/>
      <c r="C143" s="161"/>
      <c r="D143" s="161"/>
      <c r="E143" s="136"/>
      <c r="F143" s="125"/>
      <c r="G143" s="125"/>
      <c r="H143" s="125"/>
      <c r="I143" s="125"/>
      <c r="J143" s="125"/>
      <c r="K143" s="125"/>
      <c r="L143" s="125"/>
      <c r="M143" s="125"/>
      <c r="N143" s="125"/>
      <c r="O143" s="125"/>
      <c r="P143" s="125"/>
      <c r="Q143" s="125"/>
      <c r="R143" s="125"/>
      <c r="S143" s="126"/>
      <c r="T143" s="125"/>
      <c r="U143" s="125"/>
      <c r="V143" s="125"/>
      <c r="W143" s="125"/>
      <c r="X143" s="125"/>
      <c r="Y143" s="125"/>
      <c r="Z143" s="125"/>
      <c r="AA143" s="125"/>
      <c r="AB143" s="125"/>
      <c r="AC143" s="125"/>
      <c r="AD143" s="125"/>
      <c r="AE143" s="125"/>
      <c r="AF143" s="126"/>
      <c r="AG143" s="88"/>
      <c r="AH143" s="88"/>
      <c r="AI143" s="88"/>
      <c r="AJ143" s="88"/>
      <c r="AK143" s="88"/>
      <c r="AL143" s="88"/>
      <c r="AM143" s="88"/>
      <c r="AN143" s="88"/>
      <c r="AO143" s="88"/>
      <c r="AP143" s="125"/>
      <c r="AQ143" s="125"/>
      <c r="AR143" s="125"/>
      <c r="AS143" s="125"/>
      <c r="AT143" s="45"/>
    </row>
    <row r="144" spans="1:46" ht="57" x14ac:dyDescent="0.65">
      <c r="A144" s="1">
        <v>3.4</v>
      </c>
      <c r="B144" s="170" t="s">
        <v>241</v>
      </c>
      <c r="C144" s="198" t="s">
        <v>443</v>
      </c>
      <c r="D144" s="199"/>
      <c r="E144" s="127"/>
      <c r="F144" s="128">
        <f t="shared" ref="F144:R144" si="253">+SUM(F145:F146)</f>
        <v>927498</v>
      </c>
      <c r="G144" s="128">
        <f t="shared" si="253"/>
        <v>862001</v>
      </c>
      <c r="H144" s="128">
        <f>+SUM(H145:H146)</f>
        <v>2257794.5860000001</v>
      </c>
      <c r="I144" s="128">
        <f t="shared" si="253"/>
        <v>0</v>
      </c>
      <c r="J144" s="128">
        <f t="shared" si="253"/>
        <v>1948054</v>
      </c>
      <c r="K144" s="128">
        <f t="shared" si="253"/>
        <v>0</v>
      </c>
      <c r="L144" s="128">
        <f t="shared" ref="L144" si="254">+SUM(L145:L146)</f>
        <v>309740.58600000001</v>
      </c>
      <c r="M144" s="128">
        <f t="shared" si="253"/>
        <v>0</v>
      </c>
      <c r="N144" s="128">
        <f t="shared" si="253"/>
        <v>0</v>
      </c>
      <c r="O144" s="128">
        <f t="shared" si="253"/>
        <v>2257794.5860000001</v>
      </c>
      <c r="P144" s="128">
        <f t="shared" si="253"/>
        <v>768054</v>
      </c>
      <c r="Q144" s="128">
        <f t="shared" ref="Q144" si="255">+SUM(Q145:Q146)</f>
        <v>1180000</v>
      </c>
      <c r="R144" s="128">
        <f t="shared" si="253"/>
        <v>309740.58600000001</v>
      </c>
      <c r="S144" s="141"/>
      <c r="T144" s="128">
        <v>2257794.5860000001</v>
      </c>
      <c r="U144" s="128">
        <f t="shared" ref="U144:AE144" si="256">+SUM(U145:U146)</f>
        <v>0</v>
      </c>
      <c r="V144" s="128">
        <f t="shared" si="256"/>
        <v>341688.88</v>
      </c>
      <c r="W144" s="128">
        <f t="shared" si="256"/>
        <v>0</v>
      </c>
      <c r="X144" s="128">
        <f t="shared" si="256"/>
        <v>0</v>
      </c>
      <c r="Y144" s="128">
        <f t="shared" si="256"/>
        <v>0</v>
      </c>
      <c r="Z144" s="128">
        <f>+SUM(Z145:Z146)</f>
        <v>341688.88</v>
      </c>
      <c r="AA144" s="128">
        <f>+SUM(AA145:AA146)</f>
        <v>1916105.706</v>
      </c>
      <c r="AB144" s="128">
        <f t="shared" si="256"/>
        <v>0</v>
      </c>
      <c r="AC144" s="128">
        <f t="shared" si="256"/>
        <v>0</v>
      </c>
      <c r="AD144" s="128">
        <f t="shared" si="256"/>
        <v>0</v>
      </c>
      <c r="AE144" s="128">
        <f t="shared" si="256"/>
        <v>0</v>
      </c>
      <c r="AF144" s="141"/>
      <c r="AG144" s="89">
        <v>2257794.5860000001</v>
      </c>
      <c r="AH144" s="89">
        <f t="shared" ref="AH144:AL144" si="257">+SUM(AH145:AH146)</f>
        <v>0</v>
      </c>
      <c r="AI144" s="89">
        <f t="shared" si="257"/>
        <v>585590.1</v>
      </c>
      <c r="AJ144" s="89">
        <f t="shared" si="257"/>
        <v>0</v>
      </c>
      <c r="AK144" s="89">
        <f t="shared" si="257"/>
        <v>0</v>
      </c>
      <c r="AL144" s="89">
        <f t="shared" si="257"/>
        <v>0</v>
      </c>
      <c r="AM144" s="89">
        <f>+SUM(AM145:AM146)</f>
        <v>585590.1</v>
      </c>
      <c r="AN144" s="89">
        <f>+SUM(AN145:AN146)</f>
        <v>0</v>
      </c>
      <c r="AO144" s="89">
        <f>+SUM(AO145:AO146)</f>
        <v>1672204.486</v>
      </c>
      <c r="AP144" s="128">
        <f t="shared" ref="AP144:AS144" si="258">+SUM(AP145:AP146)</f>
        <v>0</v>
      </c>
      <c r="AQ144" s="128">
        <f t="shared" si="258"/>
        <v>0</v>
      </c>
      <c r="AR144" s="128">
        <f t="shared" si="258"/>
        <v>0</v>
      </c>
      <c r="AS144" s="128">
        <f t="shared" si="258"/>
        <v>0</v>
      </c>
      <c r="AT144" s="46"/>
    </row>
    <row r="145" spans="1:46" ht="121.5" customHeight="1" x14ac:dyDescent="0.35">
      <c r="B145" s="130" t="s">
        <v>242</v>
      </c>
      <c r="C145" s="130" t="s">
        <v>411</v>
      </c>
      <c r="D145" s="130"/>
      <c r="E145" s="131"/>
      <c r="F145" s="132">
        <v>747498</v>
      </c>
      <c r="G145" s="132">
        <v>441006</v>
      </c>
      <c r="H145" s="132">
        <f>SUM(I145:N145)</f>
        <v>890174.58600000001</v>
      </c>
      <c r="I145" s="139"/>
      <c r="J145" s="139">
        <v>768054</v>
      </c>
      <c r="K145" s="139"/>
      <c r="L145" s="132">
        <f t="shared" ref="L145:L146" si="259">SUM(J145*15.9%)</f>
        <v>122120.586</v>
      </c>
      <c r="M145" s="132"/>
      <c r="N145" s="132"/>
      <c r="O145" s="132">
        <f>SUM(P145:R145)</f>
        <v>890174.58600000001</v>
      </c>
      <c r="P145" s="132">
        <f>SUM(747498+20556)</f>
        <v>768054</v>
      </c>
      <c r="Q145" s="139"/>
      <c r="R145" s="139">
        <v>122120.586</v>
      </c>
      <c r="S145" s="140"/>
      <c r="T145" s="139">
        <v>890174.58600000001</v>
      </c>
      <c r="U145" s="139"/>
      <c r="V145" s="139">
        <v>94119.85</v>
      </c>
      <c r="W145" s="139"/>
      <c r="X145" s="132"/>
      <c r="Y145" s="132"/>
      <c r="Z145" s="132">
        <f t="shared" ref="Z145:Z146" si="260">SUM(U145:Y145)</f>
        <v>94119.85</v>
      </c>
      <c r="AA145" s="132">
        <f t="shared" ref="AA145:AA146" si="261">SUM(T145-Z145)</f>
        <v>796054.73600000003</v>
      </c>
      <c r="AB145" s="132">
        <f>SUM(AC145:AE145)</f>
        <v>0</v>
      </c>
      <c r="AC145" s="132"/>
      <c r="AD145" s="139"/>
      <c r="AE145" s="139"/>
      <c r="AF145" s="140"/>
      <c r="AG145" s="91">
        <v>890174.58600000001</v>
      </c>
      <c r="AH145" s="91"/>
      <c r="AI145" s="91">
        <v>144315.73000000001</v>
      </c>
      <c r="AJ145" s="91"/>
      <c r="AK145" s="90"/>
      <c r="AL145" s="90"/>
      <c r="AM145" s="90">
        <f t="shared" ref="AM145:AM146" si="262">SUM(AH145:AL145)</f>
        <v>144315.73000000001</v>
      </c>
      <c r="AN145" s="90">
        <v>0</v>
      </c>
      <c r="AO145" s="90">
        <f>SUM(AG145-AM145)</f>
        <v>745858.85600000003</v>
      </c>
      <c r="AP145" s="132">
        <f>SUM(AQ145:AS145)</f>
        <v>0</v>
      </c>
      <c r="AQ145" s="132"/>
      <c r="AR145" s="139"/>
      <c r="AS145" s="139"/>
      <c r="AT145" s="48"/>
    </row>
    <row r="146" spans="1:46" ht="121.5" customHeight="1" x14ac:dyDescent="0.35">
      <c r="B146" s="130" t="s">
        <v>245</v>
      </c>
      <c r="C146" s="130" t="s">
        <v>412</v>
      </c>
      <c r="D146" s="130"/>
      <c r="E146" s="131"/>
      <c r="F146" s="132">
        <v>180000</v>
      </c>
      <c r="G146" s="132">
        <v>420995</v>
      </c>
      <c r="H146" s="132">
        <f>SUM(I146:N146)</f>
        <v>1367620</v>
      </c>
      <c r="I146" s="139"/>
      <c r="J146" s="139">
        <v>1180000</v>
      </c>
      <c r="K146" s="139"/>
      <c r="L146" s="132">
        <f t="shared" si="259"/>
        <v>187620</v>
      </c>
      <c r="M146" s="132"/>
      <c r="N146" s="132"/>
      <c r="O146" s="132">
        <f>SUM(P146:R146)</f>
        <v>1367620</v>
      </c>
      <c r="P146" s="132"/>
      <c r="Q146" s="139">
        <v>1180000</v>
      </c>
      <c r="R146" s="139">
        <v>187620</v>
      </c>
      <c r="S146" s="140"/>
      <c r="T146" s="139">
        <v>1367620</v>
      </c>
      <c r="U146" s="139"/>
      <c r="V146" s="139">
        <v>247569.03</v>
      </c>
      <c r="W146" s="139"/>
      <c r="X146" s="132"/>
      <c r="Y146" s="132"/>
      <c r="Z146" s="132">
        <f t="shared" si="260"/>
        <v>247569.03</v>
      </c>
      <c r="AA146" s="132">
        <f t="shared" si="261"/>
        <v>1120050.97</v>
      </c>
      <c r="AB146" s="132">
        <f>SUM(AC146:AE146)</f>
        <v>0</v>
      </c>
      <c r="AC146" s="132"/>
      <c r="AD146" s="139"/>
      <c r="AE146" s="139"/>
      <c r="AF146" s="140"/>
      <c r="AG146" s="91">
        <v>1367620</v>
      </c>
      <c r="AH146" s="91"/>
      <c r="AI146" s="91">
        <v>441274.37</v>
      </c>
      <c r="AJ146" s="91"/>
      <c r="AK146" s="90"/>
      <c r="AL146" s="90"/>
      <c r="AM146" s="90">
        <f t="shared" si="262"/>
        <v>441274.37</v>
      </c>
      <c r="AN146" s="90">
        <v>0</v>
      </c>
      <c r="AO146" s="90">
        <f>SUM(AG146-AM146)</f>
        <v>926345.63</v>
      </c>
      <c r="AP146" s="132">
        <f>SUM(AQ146:AS146)</f>
        <v>0</v>
      </c>
      <c r="AQ146" s="132"/>
      <c r="AR146" s="139"/>
      <c r="AS146" s="139"/>
      <c r="AT146" s="48"/>
    </row>
    <row r="147" spans="1:46" ht="28.5" x14ac:dyDescent="0.35">
      <c r="B147" s="166"/>
      <c r="C147" s="166"/>
      <c r="D147" s="166"/>
      <c r="E147" s="96" t="s">
        <v>247</v>
      </c>
      <c r="F147" s="97"/>
      <c r="G147" s="97"/>
      <c r="H147" s="97"/>
      <c r="I147" s="97"/>
      <c r="J147" s="97"/>
      <c r="K147" s="97"/>
      <c r="L147" s="97"/>
      <c r="M147" s="97"/>
      <c r="N147" s="97"/>
      <c r="O147" s="97"/>
      <c r="P147" s="97"/>
      <c r="Q147" s="97"/>
      <c r="R147" s="97"/>
      <c r="S147" s="165"/>
      <c r="T147" s="97"/>
      <c r="U147" s="97"/>
      <c r="V147" s="97"/>
      <c r="W147" s="97"/>
      <c r="X147" s="97"/>
      <c r="Y147" s="97"/>
      <c r="Z147" s="97"/>
      <c r="AA147" s="97"/>
      <c r="AB147" s="97"/>
      <c r="AC147" s="97"/>
      <c r="AD147" s="97"/>
      <c r="AE147" s="97"/>
      <c r="AF147" s="165"/>
      <c r="AP147" s="97"/>
      <c r="AQ147" s="97"/>
      <c r="AR147" s="97"/>
      <c r="AS147" s="97"/>
      <c r="AT147" s="52"/>
    </row>
    <row r="148" spans="1:46" ht="57" x14ac:dyDescent="0.65">
      <c r="A148" s="1">
        <v>3.5</v>
      </c>
      <c r="B148" s="170" t="s">
        <v>248</v>
      </c>
      <c r="C148" s="198" t="s">
        <v>444</v>
      </c>
      <c r="D148" s="199"/>
      <c r="E148" s="127"/>
      <c r="F148" s="128">
        <f t="shared" ref="F148:R148" si="263">+SUM(F149:F152)</f>
        <v>1269440</v>
      </c>
      <c r="G148" s="128">
        <f t="shared" si="263"/>
        <v>1024272</v>
      </c>
      <c r="H148" s="128">
        <f>+SUM(H149:H152)</f>
        <v>1476967.014</v>
      </c>
      <c r="I148" s="128">
        <f t="shared" si="263"/>
        <v>0</v>
      </c>
      <c r="J148" s="128">
        <f t="shared" si="263"/>
        <v>1274346</v>
      </c>
      <c r="K148" s="128">
        <f t="shared" si="263"/>
        <v>0</v>
      </c>
      <c r="L148" s="128">
        <f t="shared" ref="L148" si="264">+SUM(L149:L152)</f>
        <v>202621.014</v>
      </c>
      <c r="M148" s="128">
        <f t="shared" si="263"/>
        <v>0</v>
      </c>
      <c r="N148" s="128">
        <f t="shared" si="263"/>
        <v>0</v>
      </c>
      <c r="O148" s="128">
        <f t="shared" si="263"/>
        <v>1476967.014</v>
      </c>
      <c r="P148" s="128">
        <f t="shared" si="263"/>
        <v>666841</v>
      </c>
      <c r="Q148" s="128">
        <f t="shared" ref="Q148" si="265">+SUM(Q149:Q152)</f>
        <v>607505</v>
      </c>
      <c r="R148" s="128">
        <f t="shared" si="263"/>
        <v>202621.014</v>
      </c>
      <c r="S148" s="141"/>
      <c r="T148" s="128">
        <v>1476967.014</v>
      </c>
      <c r="U148" s="128">
        <f t="shared" ref="U148:Y148" si="266">+SUM(U149:U152)</f>
        <v>0</v>
      </c>
      <c r="V148" s="128">
        <f t="shared" si="266"/>
        <v>569987.69000000006</v>
      </c>
      <c r="W148" s="128">
        <f t="shared" si="266"/>
        <v>0</v>
      </c>
      <c r="X148" s="128">
        <f t="shared" si="266"/>
        <v>0</v>
      </c>
      <c r="Y148" s="128">
        <f t="shared" si="266"/>
        <v>0</v>
      </c>
      <c r="Z148" s="128">
        <f>+SUM(Z149:Z152)</f>
        <v>569987.69000000006</v>
      </c>
      <c r="AA148" s="128">
        <f>+SUM(AA149:AA152)</f>
        <v>906979.32399999991</v>
      </c>
      <c r="AB148" s="128">
        <f t="shared" ref="AB148:AE148" si="267">+SUM(AB149:AB152)</f>
        <v>0</v>
      </c>
      <c r="AC148" s="128">
        <f t="shared" si="267"/>
        <v>0</v>
      </c>
      <c r="AD148" s="128">
        <f t="shared" si="267"/>
        <v>0</v>
      </c>
      <c r="AE148" s="128">
        <f t="shared" si="267"/>
        <v>0</v>
      </c>
      <c r="AF148" s="141"/>
      <c r="AG148" s="89">
        <v>1476967.014</v>
      </c>
      <c r="AH148" s="89">
        <f t="shared" ref="AH148:AL148" si="268">+SUM(AH149:AH152)</f>
        <v>0</v>
      </c>
      <c r="AI148" s="89">
        <f t="shared" si="268"/>
        <v>948716.03999999992</v>
      </c>
      <c r="AJ148" s="89">
        <f t="shared" si="268"/>
        <v>0</v>
      </c>
      <c r="AK148" s="89">
        <f t="shared" si="268"/>
        <v>0</v>
      </c>
      <c r="AL148" s="89">
        <f t="shared" si="268"/>
        <v>0</v>
      </c>
      <c r="AM148" s="89">
        <f>+SUM(AM149:AM152)</f>
        <v>948716.03999999992</v>
      </c>
      <c r="AN148" s="89">
        <f>+SUM(AN149:AN152)</f>
        <v>0</v>
      </c>
      <c r="AO148" s="89">
        <f>+SUM(AO149:AO152)</f>
        <v>528250.97400000005</v>
      </c>
      <c r="AP148" s="128">
        <f t="shared" ref="AP148:AS148" si="269">+SUM(AP149:AP152)</f>
        <v>0</v>
      </c>
      <c r="AQ148" s="128">
        <f t="shared" si="269"/>
        <v>0</v>
      </c>
      <c r="AR148" s="128">
        <f t="shared" si="269"/>
        <v>0</v>
      </c>
      <c r="AS148" s="128">
        <f t="shared" si="269"/>
        <v>0</v>
      </c>
      <c r="AT148" s="46"/>
    </row>
    <row r="149" spans="1:46" ht="85.5" x14ac:dyDescent="0.35">
      <c r="B149" s="129" t="s">
        <v>249</v>
      </c>
      <c r="C149" s="129" t="s">
        <v>382</v>
      </c>
      <c r="D149" s="129"/>
      <c r="E149" s="131"/>
      <c r="F149" s="132">
        <v>100000</v>
      </c>
      <c r="G149" s="132">
        <v>112257</v>
      </c>
      <c r="H149" s="132">
        <f>SUM(I149:N149)</f>
        <v>115900</v>
      </c>
      <c r="I149" s="132"/>
      <c r="J149" s="132">
        <v>100000</v>
      </c>
      <c r="K149" s="132"/>
      <c r="L149" s="132">
        <f t="shared" ref="L149:L152" si="270">SUM(J149*15.9%)</f>
        <v>15900</v>
      </c>
      <c r="M149" s="132"/>
      <c r="N149" s="132"/>
      <c r="O149" s="132">
        <f>SUM(P149:R149)</f>
        <v>115900</v>
      </c>
      <c r="P149" s="132"/>
      <c r="Q149" s="132">
        <v>100000</v>
      </c>
      <c r="R149" s="132">
        <v>15900</v>
      </c>
      <c r="S149" s="134"/>
      <c r="T149" s="132">
        <v>115900</v>
      </c>
      <c r="U149" s="132"/>
      <c r="V149" s="132">
        <v>24668.76</v>
      </c>
      <c r="W149" s="132"/>
      <c r="X149" s="132"/>
      <c r="Y149" s="132"/>
      <c r="Z149" s="132">
        <f t="shared" ref="Z149:Z152" si="271">SUM(U149:Y149)</f>
        <v>24668.76</v>
      </c>
      <c r="AA149" s="132">
        <f t="shared" ref="AA149:AA152" si="272">SUM(T149-Z149)</f>
        <v>91231.24</v>
      </c>
      <c r="AB149" s="132">
        <f>SUM(AC149:AE149)</f>
        <v>0</v>
      </c>
      <c r="AC149" s="132"/>
      <c r="AD149" s="132"/>
      <c r="AE149" s="132"/>
      <c r="AF149" s="134"/>
      <c r="AG149" s="90">
        <v>115900</v>
      </c>
      <c r="AH149" s="90"/>
      <c r="AI149" s="90">
        <v>42232.08</v>
      </c>
      <c r="AJ149" s="90"/>
      <c r="AK149" s="90"/>
      <c r="AL149" s="90"/>
      <c r="AM149" s="90">
        <f t="shared" ref="AM149:AN152" si="273">SUM(AH149:AL149)</f>
        <v>42232.08</v>
      </c>
      <c r="AN149" s="90">
        <v>0</v>
      </c>
      <c r="AO149" s="90">
        <f>SUM(AG149-AM149)</f>
        <v>73667.92</v>
      </c>
      <c r="AP149" s="132">
        <f>SUM(AQ149:AS149)</f>
        <v>0</v>
      </c>
      <c r="AQ149" s="132"/>
      <c r="AR149" s="132"/>
      <c r="AS149" s="132"/>
      <c r="AT149" s="47"/>
    </row>
    <row r="150" spans="1:46" ht="171" x14ac:dyDescent="0.35">
      <c r="B150" s="129" t="s">
        <v>252</v>
      </c>
      <c r="C150" s="129" t="s">
        <v>383</v>
      </c>
      <c r="D150" s="129"/>
      <c r="E150" s="131"/>
      <c r="F150" s="132">
        <f>SUM(164023+484971+402925)</f>
        <v>1051919</v>
      </c>
      <c r="G150" s="132">
        <f>SUM(143425+543487+225103)</f>
        <v>912015</v>
      </c>
      <c r="H150" s="132">
        <f>SUM(I150:N150)</f>
        <v>1239858.794</v>
      </c>
      <c r="I150" s="132"/>
      <c r="J150" s="132">
        <v>1069766</v>
      </c>
      <c r="K150" s="132"/>
      <c r="L150" s="132">
        <f t="shared" si="270"/>
        <v>170092.79399999999</v>
      </c>
      <c r="M150" s="132"/>
      <c r="N150" s="132"/>
      <c r="O150" s="132">
        <f>SUM(P150:R150)</f>
        <v>1239858.794</v>
      </c>
      <c r="P150" s="132">
        <f>SUM(648994+17847)</f>
        <v>666841</v>
      </c>
      <c r="Q150" s="132">
        <v>402925</v>
      </c>
      <c r="R150" s="132">
        <v>170092.79399999999</v>
      </c>
      <c r="S150" s="134"/>
      <c r="T150" s="132">
        <v>1239858.794</v>
      </c>
      <c r="U150" s="132"/>
      <c r="V150" s="132">
        <v>545318.93000000005</v>
      </c>
      <c r="W150" s="132"/>
      <c r="X150" s="132"/>
      <c r="Y150" s="132"/>
      <c r="Z150" s="132">
        <f t="shared" si="271"/>
        <v>545318.93000000005</v>
      </c>
      <c r="AA150" s="132">
        <f t="shared" si="272"/>
        <v>694539.86399999994</v>
      </c>
      <c r="AB150" s="132">
        <f>SUM(AC150:AE150)</f>
        <v>0</v>
      </c>
      <c r="AC150" s="132"/>
      <c r="AD150" s="132"/>
      <c r="AE150" s="132"/>
      <c r="AF150" s="134"/>
      <c r="AG150" s="90">
        <v>1239858.794</v>
      </c>
      <c r="AH150" s="90"/>
      <c r="AI150" s="90">
        <v>874607.96</v>
      </c>
      <c r="AJ150" s="90"/>
      <c r="AK150" s="90"/>
      <c r="AL150" s="90"/>
      <c r="AM150" s="90">
        <f t="shared" si="273"/>
        <v>874607.96</v>
      </c>
      <c r="AN150" s="90">
        <v>0</v>
      </c>
      <c r="AO150" s="90">
        <f>SUM(AG150-AM150)</f>
        <v>365250.83400000003</v>
      </c>
      <c r="AP150" s="132">
        <f>SUM(AQ150:AS150)</f>
        <v>0</v>
      </c>
      <c r="AQ150" s="132"/>
      <c r="AR150" s="132"/>
      <c r="AS150" s="132"/>
      <c r="AT150" s="47"/>
    </row>
    <row r="151" spans="1:46" ht="57" x14ac:dyDescent="0.35">
      <c r="B151" s="129" t="s">
        <v>254</v>
      </c>
      <c r="C151" s="129" t="s">
        <v>413</v>
      </c>
      <c r="D151" s="129"/>
      <c r="E151" s="131"/>
      <c r="F151" s="132">
        <v>85521</v>
      </c>
      <c r="G151" s="132">
        <v>0</v>
      </c>
      <c r="H151" s="132">
        <f>SUM(I151:N151)</f>
        <v>84120.22</v>
      </c>
      <c r="I151" s="132"/>
      <c r="J151" s="132">
        <v>72580</v>
      </c>
      <c r="K151" s="132"/>
      <c r="L151" s="132">
        <f t="shared" si="270"/>
        <v>11540.22</v>
      </c>
      <c r="M151" s="132"/>
      <c r="N151" s="132"/>
      <c r="O151" s="132">
        <f>SUM(P151:R151)</f>
        <v>84120.22</v>
      </c>
      <c r="P151" s="132"/>
      <c r="Q151" s="132">
        <v>72580</v>
      </c>
      <c r="R151" s="132">
        <v>11540.22</v>
      </c>
      <c r="S151" s="134"/>
      <c r="T151" s="132">
        <v>84120.22</v>
      </c>
      <c r="U151" s="132"/>
      <c r="V151" s="132">
        <v>0</v>
      </c>
      <c r="W151" s="132"/>
      <c r="X151" s="132"/>
      <c r="Y151" s="132"/>
      <c r="Z151" s="132">
        <f t="shared" si="271"/>
        <v>0</v>
      </c>
      <c r="AA151" s="132">
        <f t="shared" si="272"/>
        <v>84120.22</v>
      </c>
      <c r="AB151" s="132">
        <f>SUM(AC151:AE151)</f>
        <v>0</v>
      </c>
      <c r="AC151" s="132"/>
      <c r="AD151" s="132"/>
      <c r="AE151" s="132"/>
      <c r="AF151" s="134"/>
      <c r="AG151" s="90">
        <v>84120.22</v>
      </c>
      <c r="AH151" s="90"/>
      <c r="AI151" s="90">
        <v>0</v>
      </c>
      <c r="AJ151" s="90"/>
      <c r="AK151" s="90"/>
      <c r="AL151" s="90"/>
      <c r="AM151" s="90">
        <f t="shared" si="273"/>
        <v>0</v>
      </c>
      <c r="AN151" s="90">
        <f t="shared" si="273"/>
        <v>0</v>
      </c>
      <c r="AO151" s="90">
        <f>SUM(AG151-AM151)</f>
        <v>84120.22</v>
      </c>
      <c r="AP151" s="132">
        <f>SUM(AQ151:AS151)</f>
        <v>0</v>
      </c>
      <c r="AQ151" s="132"/>
      <c r="AR151" s="132"/>
      <c r="AS151" s="132"/>
      <c r="AT151" s="47"/>
    </row>
    <row r="152" spans="1:46" ht="85.5" x14ac:dyDescent="0.35">
      <c r="B152" s="129" t="s">
        <v>256</v>
      </c>
      <c r="C152" s="129" t="s">
        <v>414</v>
      </c>
      <c r="D152" s="129"/>
      <c r="E152" s="131"/>
      <c r="F152" s="132">
        <v>32000</v>
      </c>
      <c r="G152" s="132">
        <v>0</v>
      </c>
      <c r="H152" s="132">
        <f>SUM(I152:N152)</f>
        <v>37088</v>
      </c>
      <c r="I152" s="132"/>
      <c r="J152" s="132">
        <v>32000</v>
      </c>
      <c r="K152" s="132"/>
      <c r="L152" s="132">
        <f t="shared" si="270"/>
        <v>5088</v>
      </c>
      <c r="M152" s="132"/>
      <c r="N152" s="132"/>
      <c r="O152" s="132">
        <f>SUM(P152:R152)</f>
        <v>37088</v>
      </c>
      <c r="P152" s="132"/>
      <c r="Q152" s="132">
        <v>32000</v>
      </c>
      <c r="R152" s="132">
        <v>5088</v>
      </c>
      <c r="S152" s="134"/>
      <c r="T152" s="132">
        <v>37088</v>
      </c>
      <c r="U152" s="132"/>
      <c r="V152" s="132">
        <v>0</v>
      </c>
      <c r="W152" s="132"/>
      <c r="X152" s="132"/>
      <c r="Y152" s="132"/>
      <c r="Z152" s="132">
        <f t="shared" si="271"/>
        <v>0</v>
      </c>
      <c r="AA152" s="132">
        <f t="shared" si="272"/>
        <v>37088</v>
      </c>
      <c r="AB152" s="132">
        <f>SUM(AC152:AE152)</f>
        <v>0</v>
      </c>
      <c r="AC152" s="132"/>
      <c r="AD152" s="132"/>
      <c r="AE152" s="132"/>
      <c r="AF152" s="134"/>
      <c r="AG152" s="90">
        <v>37088</v>
      </c>
      <c r="AH152" s="90"/>
      <c r="AI152" s="90">
        <v>31876</v>
      </c>
      <c r="AJ152" s="90"/>
      <c r="AK152" s="90"/>
      <c r="AL152" s="90"/>
      <c r="AM152" s="90">
        <f t="shared" si="273"/>
        <v>31876</v>
      </c>
      <c r="AN152" s="90">
        <v>0</v>
      </c>
      <c r="AO152" s="90">
        <f>SUM(AG152-AM152)</f>
        <v>5212</v>
      </c>
      <c r="AP152" s="132">
        <f>SUM(AQ152:AS152)</f>
        <v>0</v>
      </c>
      <c r="AQ152" s="132"/>
      <c r="AR152" s="132"/>
      <c r="AS152" s="132"/>
      <c r="AT152" s="47"/>
    </row>
    <row r="153" spans="1:46" ht="28.5" x14ac:dyDescent="0.35">
      <c r="B153" s="161"/>
      <c r="C153" s="161"/>
      <c r="D153" s="161"/>
      <c r="E153" s="136"/>
      <c r="F153" s="125"/>
      <c r="G153" s="125"/>
      <c r="H153" s="125"/>
      <c r="I153" s="125"/>
      <c r="J153" s="125"/>
      <c r="K153" s="125"/>
      <c r="L153" s="125"/>
      <c r="M153" s="125"/>
      <c r="N153" s="125"/>
      <c r="O153" s="125"/>
      <c r="P153" s="125"/>
      <c r="Q153" s="125"/>
      <c r="R153" s="125"/>
      <c r="S153" s="126"/>
      <c r="T153" s="125"/>
      <c r="U153" s="125"/>
      <c r="V153" s="125"/>
      <c r="W153" s="125"/>
      <c r="X153" s="125"/>
      <c r="Y153" s="125"/>
      <c r="Z153" s="125"/>
      <c r="AA153" s="125"/>
      <c r="AB153" s="125"/>
      <c r="AC153" s="125"/>
      <c r="AD153" s="125"/>
      <c r="AE153" s="125"/>
      <c r="AF153" s="126"/>
      <c r="AG153" s="88"/>
      <c r="AH153" s="88"/>
      <c r="AI153" s="88"/>
      <c r="AJ153" s="88"/>
      <c r="AK153" s="88"/>
      <c r="AL153" s="88"/>
      <c r="AM153" s="88"/>
      <c r="AN153" s="88"/>
      <c r="AO153" s="88"/>
      <c r="AP153" s="125"/>
      <c r="AQ153" s="125"/>
      <c r="AR153" s="125"/>
      <c r="AS153" s="125"/>
      <c r="AT153" s="45"/>
    </row>
    <row r="154" spans="1:46" ht="57" x14ac:dyDescent="0.65">
      <c r="A154" s="1">
        <v>3.6</v>
      </c>
      <c r="B154" s="170" t="s">
        <v>258</v>
      </c>
      <c r="C154" s="198" t="s">
        <v>444</v>
      </c>
      <c r="D154" s="199"/>
      <c r="E154" s="127"/>
      <c r="F154" s="128">
        <f>+SUM(F155:F156)</f>
        <v>1420722</v>
      </c>
      <c r="G154" s="128">
        <f t="shared" ref="G154:R154" si="274">+SUM(G155:G156)</f>
        <v>1848873</v>
      </c>
      <c r="H154" s="128">
        <f>+SUM(H155:H156)</f>
        <v>2157842.426</v>
      </c>
      <c r="I154" s="128">
        <f t="shared" si="274"/>
        <v>0</v>
      </c>
      <c r="J154" s="128">
        <f t="shared" si="274"/>
        <v>1861814</v>
      </c>
      <c r="K154" s="128">
        <f t="shared" si="274"/>
        <v>0</v>
      </c>
      <c r="L154" s="128">
        <f t="shared" ref="L154" si="275">+SUM(L155:L156)</f>
        <v>296028.42600000004</v>
      </c>
      <c r="M154" s="128">
        <f t="shared" si="274"/>
        <v>0</v>
      </c>
      <c r="N154" s="128">
        <f t="shared" si="274"/>
        <v>0</v>
      </c>
      <c r="O154" s="128">
        <f t="shared" si="274"/>
        <v>2157842.426</v>
      </c>
      <c r="P154" s="128">
        <f t="shared" si="274"/>
        <v>0</v>
      </c>
      <c r="Q154" s="128">
        <f t="shared" ref="Q154" si="276">+SUM(Q155:Q156)</f>
        <v>1861814</v>
      </c>
      <c r="R154" s="128">
        <f t="shared" si="274"/>
        <v>296028.42600000004</v>
      </c>
      <c r="S154" s="141"/>
      <c r="T154" s="128">
        <v>2157842.426</v>
      </c>
      <c r="U154" s="128">
        <f t="shared" ref="U154:Y154" si="277">+SUM(U155:U156)</f>
        <v>0</v>
      </c>
      <c r="V154" s="128">
        <f t="shared" si="277"/>
        <v>939624.03</v>
      </c>
      <c r="W154" s="128">
        <f t="shared" si="277"/>
        <v>0</v>
      </c>
      <c r="X154" s="128">
        <f t="shared" si="277"/>
        <v>0</v>
      </c>
      <c r="Y154" s="128">
        <f t="shared" si="277"/>
        <v>0</v>
      </c>
      <c r="Z154" s="128">
        <f>+SUM(Z155:Z156)</f>
        <v>939624.03</v>
      </c>
      <c r="AA154" s="128">
        <f>+SUM(AA155:AA156)</f>
        <v>1218218.3959999999</v>
      </c>
      <c r="AB154" s="128">
        <f t="shared" ref="AB154:AE154" si="278">+SUM(AB155:AB156)</f>
        <v>0</v>
      </c>
      <c r="AC154" s="128">
        <f t="shared" si="278"/>
        <v>0</v>
      </c>
      <c r="AD154" s="128">
        <f t="shared" si="278"/>
        <v>0</v>
      </c>
      <c r="AE154" s="128">
        <f t="shared" si="278"/>
        <v>0</v>
      </c>
      <c r="AF154" s="141"/>
      <c r="AG154" s="89">
        <v>2157842.426</v>
      </c>
      <c r="AH154" s="89">
        <f t="shared" ref="AH154:AL154" si="279">+SUM(AH155:AH156)</f>
        <v>0</v>
      </c>
      <c r="AI154" s="89">
        <f t="shared" si="279"/>
        <v>1575481.92</v>
      </c>
      <c r="AJ154" s="89">
        <f t="shared" si="279"/>
        <v>0</v>
      </c>
      <c r="AK154" s="89">
        <f t="shared" si="279"/>
        <v>0</v>
      </c>
      <c r="AL154" s="89">
        <f t="shared" si="279"/>
        <v>0</v>
      </c>
      <c r="AM154" s="89">
        <f>+SUM(AM155:AM156)</f>
        <v>1575481.92</v>
      </c>
      <c r="AN154" s="89">
        <f>+SUM(AN155:AN156)</f>
        <v>0</v>
      </c>
      <c r="AO154" s="89">
        <f>+SUM(AO155:AO156)</f>
        <v>582360.50600000005</v>
      </c>
      <c r="AP154" s="128">
        <f t="shared" ref="AP154:AS154" si="280">+SUM(AP155:AP156)</f>
        <v>0</v>
      </c>
      <c r="AQ154" s="128">
        <f t="shared" si="280"/>
        <v>0</v>
      </c>
      <c r="AR154" s="128">
        <f t="shared" si="280"/>
        <v>0</v>
      </c>
      <c r="AS154" s="128">
        <f t="shared" si="280"/>
        <v>0</v>
      </c>
      <c r="AT154" s="46"/>
    </row>
    <row r="155" spans="1:46" ht="57" x14ac:dyDescent="0.35">
      <c r="B155" s="130" t="s">
        <v>259</v>
      </c>
      <c r="C155" s="130" t="s">
        <v>415</v>
      </c>
      <c r="D155" s="130"/>
      <c r="E155" s="131"/>
      <c r="F155" s="132">
        <v>1420722</v>
      </c>
      <c r="G155" s="132">
        <v>1848873</v>
      </c>
      <c r="H155" s="132">
        <f>SUM(I155:N155)</f>
        <v>2142843.807</v>
      </c>
      <c r="I155" s="139"/>
      <c r="J155" s="139">
        <v>1848873</v>
      </c>
      <c r="K155" s="139"/>
      <c r="L155" s="132">
        <f t="shared" ref="L155:L162" si="281">SUM(J155*15.9%)</f>
        <v>293970.80700000003</v>
      </c>
      <c r="M155" s="132"/>
      <c r="N155" s="132"/>
      <c r="O155" s="132">
        <f>SUM(P155:R155)</f>
        <v>2142843.807</v>
      </c>
      <c r="P155" s="132"/>
      <c r="Q155" s="139">
        <v>1848873</v>
      </c>
      <c r="R155" s="139">
        <v>293970.80700000003</v>
      </c>
      <c r="S155" s="140"/>
      <c r="T155" s="139">
        <v>2142843.807</v>
      </c>
      <c r="U155" s="139"/>
      <c r="V155" s="139">
        <v>939624.03</v>
      </c>
      <c r="W155" s="139"/>
      <c r="X155" s="132"/>
      <c r="Y155" s="132"/>
      <c r="Z155" s="132">
        <f t="shared" ref="Z155:Z156" si="282">SUM(U155:Y155)</f>
        <v>939624.03</v>
      </c>
      <c r="AA155" s="132">
        <f t="shared" ref="AA155:AA156" si="283">SUM(T155-Z155)</f>
        <v>1203219.777</v>
      </c>
      <c r="AB155" s="132">
        <f>SUM(AC155:AE155)</f>
        <v>0</v>
      </c>
      <c r="AC155" s="132"/>
      <c r="AD155" s="139"/>
      <c r="AE155" s="139"/>
      <c r="AF155" s="140"/>
      <c r="AG155" s="91">
        <v>2142843.807</v>
      </c>
      <c r="AH155" s="91"/>
      <c r="AI155" s="91">
        <v>1575481.92</v>
      </c>
      <c r="AJ155" s="91"/>
      <c r="AK155" s="90"/>
      <c r="AL155" s="90"/>
      <c r="AM155" s="90">
        <f t="shared" ref="AM155:AM156" si="284">SUM(AH155:AL155)</f>
        <v>1575481.92</v>
      </c>
      <c r="AN155" s="90">
        <v>0</v>
      </c>
      <c r="AO155" s="90">
        <f>SUM(AG155-AM155)</f>
        <v>567361.8870000001</v>
      </c>
      <c r="AP155" s="132">
        <f>SUM(AQ155:AS155)</f>
        <v>0</v>
      </c>
      <c r="AQ155" s="132"/>
      <c r="AR155" s="139"/>
      <c r="AS155" s="139"/>
      <c r="AT155" s="48"/>
    </row>
    <row r="156" spans="1:46" ht="57" x14ac:dyDescent="0.35">
      <c r="B156" s="130" t="s">
        <v>262</v>
      </c>
      <c r="C156" s="130" t="s">
        <v>413</v>
      </c>
      <c r="D156" s="130"/>
      <c r="E156" s="131"/>
      <c r="F156" s="132">
        <v>0</v>
      </c>
      <c r="G156" s="132">
        <v>0</v>
      </c>
      <c r="H156" s="132">
        <f>SUM(I156:N156)</f>
        <v>14998.619000000001</v>
      </c>
      <c r="I156" s="139"/>
      <c r="J156" s="139">
        <v>12941</v>
      </c>
      <c r="K156" s="139"/>
      <c r="L156" s="132">
        <f t="shared" si="281"/>
        <v>2057.6190000000001</v>
      </c>
      <c r="M156" s="132"/>
      <c r="N156" s="132"/>
      <c r="O156" s="132">
        <f>SUM(P156:R156)</f>
        <v>14998.619000000001</v>
      </c>
      <c r="P156" s="132"/>
      <c r="Q156" s="139">
        <v>12941</v>
      </c>
      <c r="R156" s="139">
        <v>2057.6190000000001</v>
      </c>
      <c r="S156" s="140"/>
      <c r="T156" s="139">
        <v>14998.619000000001</v>
      </c>
      <c r="U156" s="139"/>
      <c r="V156" s="139">
        <v>0</v>
      </c>
      <c r="W156" s="139"/>
      <c r="X156" s="132"/>
      <c r="Y156" s="132"/>
      <c r="Z156" s="132">
        <f t="shared" si="282"/>
        <v>0</v>
      </c>
      <c r="AA156" s="132">
        <f t="shared" si="283"/>
        <v>14998.619000000001</v>
      </c>
      <c r="AB156" s="132">
        <f>SUM(AC156:AE156)</f>
        <v>0</v>
      </c>
      <c r="AC156" s="132"/>
      <c r="AD156" s="139"/>
      <c r="AE156" s="139"/>
      <c r="AF156" s="140"/>
      <c r="AG156" s="91">
        <v>14998.619000000001</v>
      </c>
      <c r="AH156" s="91"/>
      <c r="AI156" s="91">
        <v>0</v>
      </c>
      <c r="AJ156" s="91"/>
      <c r="AK156" s="90"/>
      <c r="AL156" s="90"/>
      <c r="AM156" s="90">
        <f t="shared" si="284"/>
        <v>0</v>
      </c>
      <c r="AN156" s="90">
        <v>0</v>
      </c>
      <c r="AO156" s="90">
        <f>SUM(AG156-AM156)</f>
        <v>14998.619000000001</v>
      </c>
      <c r="AP156" s="132">
        <f>SUM(AQ156:AS156)</f>
        <v>0</v>
      </c>
      <c r="AQ156" s="132"/>
      <c r="AR156" s="139"/>
      <c r="AS156" s="139"/>
      <c r="AT156" s="48"/>
    </row>
    <row r="157" spans="1:46" ht="28.5" x14ac:dyDescent="0.35">
      <c r="B157" s="161"/>
      <c r="C157" s="161"/>
      <c r="D157" s="161"/>
      <c r="E157" s="136"/>
      <c r="F157" s="125"/>
      <c r="G157" s="125"/>
      <c r="H157" s="125"/>
      <c r="I157" s="125"/>
      <c r="J157" s="125"/>
      <c r="K157" s="125"/>
      <c r="L157" s="132"/>
      <c r="M157" s="125"/>
      <c r="N157" s="125"/>
      <c r="O157" s="125"/>
      <c r="P157" s="125"/>
      <c r="Q157" s="125"/>
      <c r="R157" s="125"/>
      <c r="S157" s="126"/>
      <c r="T157" s="125"/>
      <c r="U157" s="125"/>
      <c r="V157" s="125"/>
      <c r="W157" s="125"/>
      <c r="X157" s="125"/>
      <c r="Y157" s="125"/>
      <c r="Z157" s="125"/>
      <c r="AA157" s="125"/>
      <c r="AB157" s="125"/>
      <c r="AC157" s="125"/>
      <c r="AD157" s="125"/>
      <c r="AE157" s="125"/>
      <c r="AF157" s="126"/>
      <c r="AG157" s="88"/>
      <c r="AH157" s="88"/>
      <c r="AI157" s="88"/>
      <c r="AJ157" s="88"/>
      <c r="AK157" s="88"/>
      <c r="AL157" s="88"/>
      <c r="AM157" s="88"/>
      <c r="AN157" s="88"/>
      <c r="AO157" s="88"/>
      <c r="AP157" s="125"/>
      <c r="AQ157" s="125"/>
      <c r="AR157" s="125"/>
      <c r="AS157" s="125"/>
      <c r="AT157" s="45"/>
    </row>
    <row r="158" spans="1:46" ht="57" x14ac:dyDescent="0.65">
      <c r="A158" s="1">
        <v>3.7</v>
      </c>
      <c r="B158" s="170" t="s">
        <v>263</v>
      </c>
      <c r="C158" s="198" t="s">
        <v>444</v>
      </c>
      <c r="D158" s="199"/>
      <c r="E158" s="127"/>
      <c r="F158" s="128">
        <f>+SUM(F159:F162)</f>
        <v>4185722</v>
      </c>
      <c r="G158" s="128">
        <f t="shared" ref="G158:R158" si="285">+SUM(G159:G162)</f>
        <v>4904406</v>
      </c>
      <c r="H158" s="128">
        <f>+SUM(H159:H162)</f>
        <v>5622120.0830000006</v>
      </c>
      <c r="I158" s="128">
        <f t="shared" si="285"/>
        <v>0</v>
      </c>
      <c r="J158" s="128">
        <f>+SUM(J159:J162)</f>
        <v>4850837</v>
      </c>
      <c r="K158" s="128">
        <f t="shared" si="285"/>
        <v>0</v>
      </c>
      <c r="L158" s="128">
        <f>+SUM(L159:L162)</f>
        <v>771283.08299999998</v>
      </c>
      <c r="M158" s="128">
        <f t="shared" si="285"/>
        <v>0</v>
      </c>
      <c r="N158" s="128">
        <f t="shared" si="285"/>
        <v>0</v>
      </c>
      <c r="O158" s="128">
        <f t="shared" si="285"/>
        <v>5622120.0830000006</v>
      </c>
      <c r="P158" s="128">
        <f t="shared" si="285"/>
        <v>4770593</v>
      </c>
      <c r="Q158" s="128">
        <f t="shared" ref="Q158" si="286">+SUM(Q159:Q162)</f>
        <v>80244</v>
      </c>
      <c r="R158" s="128">
        <f t="shared" si="285"/>
        <v>771283.08299999998</v>
      </c>
      <c r="S158" s="141"/>
      <c r="T158" s="128">
        <v>5622120.0830000006</v>
      </c>
      <c r="U158" s="128">
        <f t="shared" ref="U158:Y158" si="287">+SUM(U159:U162)</f>
        <v>0</v>
      </c>
      <c r="V158" s="128">
        <f t="shared" si="287"/>
        <v>2486629.0300000003</v>
      </c>
      <c r="W158" s="128">
        <f t="shared" si="287"/>
        <v>0</v>
      </c>
      <c r="X158" s="128">
        <f t="shared" si="287"/>
        <v>0</v>
      </c>
      <c r="Y158" s="128">
        <f t="shared" si="287"/>
        <v>0</v>
      </c>
      <c r="Z158" s="128">
        <f>+SUM(Z159:Z162)</f>
        <v>2486629.0300000003</v>
      </c>
      <c r="AA158" s="128">
        <f>+SUM(AA159:AA162)</f>
        <v>3135491.0530000003</v>
      </c>
      <c r="AB158" s="128">
        <f t="shared" ref="AB158:AE158" si="288">+SUM(AB159:AB162)</f>
        <v>0</v>
      </c>
      <c r="AC158" s="128">
        <f t="shared" si="288"/>
        <v>0</v>
      </c>
      <c r="AD158" s="128">
        <f t="shared" si="288"/>
        <v>0</v>
      </c>
      <c r="AE158" s="128">
        <f t="shared" si="288"/>
        <v>0</v>
      </c>
      <c r="AF158" s="141"/>
      <c r="AG158" s="89">
        <v>5622120.0830000006</v>
      </c>
      <c r="AH158" s="89">
        <f t="shared" ref="AH158:AL158" si="289">+SUM(AH159:AH162)</f>
        <v>0</v>
      </c>
      <c r="AI158" s="89">
        <f t="shared" si="289"/>
        <v>3756530.08</v>
      </c>
      <c r="AJ158" s="89">
        <f t="shared" si="289"/>
        <v>0</v>
      </c>
      <c r="AK158" s="89">
        <f t="shared" si="289"/>
        <v>0</v>
      </c>
      <c r="AL158" s="89">
        <f t="shared" si="289"/>
        <v>0</v>
      </c>
      <c r="AM158" s="89">
        <f>+SUM(AM159:AM162)</f>
        <v>3756530.08</v>
      </c>
      <c r="AN158" s="89">
        <f>+SUM(AN159:AN162)</f>
        <v>0</v>
      </c>
      <c r="AO158" s="89">
        <f>+SUM(AO159:AO162)</f>
        <v>1865590.003</v>
      </c>
      <c r="AP158" s="128">
        <f t="shared" ref="AP158:AS158" si="290">+SUM(AP159:AP162)</f>
        <v>0</v>
      </c>
      <c r="AQ158" s="128">
        <f t="shared" si="290"/>
        <v>0</v>
      </c>
      <c r="AR158" s="128">
        <f t="shared" si="290"/>
        <v>0</v>
      </c>
      <c r="AS158" s="128">
        <f t="shared" si="290"/>
        <v>0</v>
      </c>
      <c r="AT158" s="46"/>
    </row>
    <row r="159" spans="1:46" ht="57" x14ac:dyDescent="0.35">
      <c r="B159" s="130" t="s">
        <v>264</v>
      </c>
      <c r="C159" s="130" t="s">
        <v>416</v>
      </c>
      <c r="D159" s="130"/>
      <c r="E159" s="131"/>
      <c r="F159" s="132">
        <v>279376</v>
      </c>
      <c r="G159" s="132">
        <v>244507</v>
      </c>
      <c r="H159" s="132">
        <f>SUM(I159:N159)</f>
        <v>332701.38099999999</v>
      </c>
      <c r="I159" s="139"/>
      <c r="J159" s="139">
        <v>287059</v>
      </c>
      <c r="K159" s="139"/>
      <c r="L159" s="132">
        <f t="shared" si="281"/>
        <v>45642.381000000001</v>
      </c>
      <c r="M159" s="132"/>
      <c r="N159" s="132"/>
      <c r="O159" s="132">
        <f>SUM(P159:R159)</f>
        <v>332701.38099999999</v>
      </c>
      <c r="P159" s="132">
        <f>SUM(279376+7683)</f>
        <v>287059</v>
      </c>
      <c r="Q159" s="139"/>
      <c r="R159" s="139">
        <v>45642.381000000001</v>
      </c>
      <c r="S159" s="140"/>
      <c r="T159" s="139">
        <v>332701.38099999999</v>
      </c>
      <c r="U159" s="139"/>
      <c r="V159" s="139">
        <v>158680.63</v>
      </c>
      <c r="W159" s="139"/>
      <c r="X159" s="132"/>
      <c r="Y159" s="132"/>
      <c r="Z159" s="132">
        <f t="shared" ref="Z159:Z162" si="291">SUM(U159:Y159)</f>
        <v>158680.63</v>
      </c>
      <c r="AA159" s="132">
        <f t="shared" ref="AA159:AA162" si="292">SUM(T159-Z159)</f>
        <v>174020.75099999999</v>
      </c>
      <c r="AB159" s="132">
        <f>SUM(AC159:AE159)</f>
        <v>0</v>
      </c>
      <c r="AC159" s="132"/>
      <c r="AD159" s="139"/>
      <c r="AE159" s="139"/>
      <c r="AF159" s="140"/>
      <c r="AG159" s="91">
        <v>332701.38099999999</v>
      </c>
      <c r="AH159" s="91"/>
      <c r="AI159" s="91">
        <v>210324.17</v>
      </c>
      <c r="AJ159" s="91"/>
      <c r="AK159" s="90"/>
      <c r="AL159" s="90"/>
      <c r="AM159" s="90">
        <f t="shared" ref="AM159:AM162" si="293">SUM(AH159:AL159)</f>
        <v>210324.17</v>
      </c>
      <c r="AN159" s="90">
        <v>0</v>
      </c>
      <c r="AO159" s="90">
        <f>SUM(AG159-AM159)</f>
        <v>122377.21099999998</v>
      </c>
      <c r="AP159" s="132">
        <f>SUM(AQ159:AS159)</f>
        <v>0</v>
      </c>
      <c r="AQ159" s="132"/>
      <c r="AR159" s="139"/>
      <c r="AS159" s="139"/>
      <c r="AT159" s="48"/>
    </row>
    <row r="160" spans="1:46" ht="85.5" x14ac:dyDescent="0.35">
      <c r="B160" s="130" t="s">
        <v>267</v>
      </c>
      <c r="C160" s="130" t="s">
        <v>417</v>
      </c>
      <c r="D160" s="130"/>
      <c r="E160" s="131"/>
      <c r="F160" s="132">
        <v>170987</v>
      </c>
      <c r="G160" s="132">
        <v>155005</v>
      </c>
      <c r="H160" s="132">
        <f>SUM(I160:N160)</f>
        <v>203511.128</v>
      </c>
      <c r="I160" s="139"/>
      <c r="J160" s="139">
        <v>175592</v>
      </c>
      <c r="K160" s="139"/>
      <c r="L160" s="132">
        <f t="shared" si="281"/>
        <v>27919.128000000001</v>
      </c>
      <c r="M160" s="132"/>
      <c r="N160" s="132"/>
      <c r="O160" s="132">
        <f>SUM(P160:R160)</f>
        <v>203511.128</v>
      </c>
      <c r="P160" s="139">
        <f>SUM(167437+4605)</f>
        <v>172042</v>
      </c>
      <c r="Q160" s="139">
        <v>3550</v>
      </c>
      <c r="R160" s="139">
        <v>27919.128000000001</v>
      </c>
      <c r="S160" s="140"/>
      <c r="T160" s="139">
        <v>203511.128</v>
      </c>
      <c r="U160" s="139"/>
      <c r="V160" s="139">
        <v>92991.16</v>
      </c>
      <c r="W160" s="139"/>
      <c r="X160" s="132"/>
      <c r="Y160" s="132"/>
      <c r="Z160" s="132">
        <f t="shared" si="291"/>
        <v>92991.16</v>
      </c>
      <c r="AA160" s="132">
        <f t="shared" si="292"/>
        <v>110519.96799999999</v>
      </c>
      <c r="AB160" s="132">
        <f>SUM(AC160:AE160)</f>
        <v>0</v>
      </c>
      <c r="AC160" s="139"/>
      <c r="AD160" s="139"/>
      <c r="AE160" s="139"/>
      <c r="AF160" s="140"/>
      <c r="AG160" s="91">
        <v>203511.128</v>
      </c>
      <c r="AH160" s="91"/>
      <c r="AI160" s="91">
        <v>136783.71</v>
      </c>
      <c r="AJ160" s="91"/>
      <c r="AK160" s="90"/>
      <c r="AL160" s="90"/>
      <c r="AM160" s="90">
        <f t="shared" si="293"/>
        <v>136783.71</v>
      </c>
      <c r="AN160" s="90">
        <v>0</v>
      </c>
      <c r="AO160" s="90">
        <f>SUM(AG160-AM160)</f>
        <v>66727.418000000005</v>
      </c>
      <c r="AP160" s="132">
        <f>SUM(AQ160:AS160)</f>
        <v>0</v>
      </c>
      <c r="AQ160" s="139"/>
      <c r="AR160" s="139"/>
      <c r="AS160" s="139"/>
      <c r="AT160" s="48"/>
    </row>
    <row r="161" spans="1:46" ht="85.5" x14ac:dyDescent="0.35">
      <c r="B161" s="130" t="s">
        <v>269</v>
      </c>
      <c r="C161" s="130" t="s">
        <v>418</v>
      </c>
      <c r="D161" s="130"/>
      <c r="E161" s="131"/>
      <c r="F161" s="132">
        <v>916429</v>
      </c>
      <c r="G161" s="132">
        <v>1918717</v>
      </c>
      <c r="H161" s="132">
        <f>SUM(I161:N161)</f>
        <v>1731366.355</v>
      </c>
      <c r="I161" s="139"/>
      <c r="J161" s="139">
        <v>1493845</v>
      </c>
      <c r="K161" s="139"/>
      <c r="L161" s="132">
        <f t="shared" si="281"/>
        <v>237521.35500000001</v>
      </c>
      <c r="M161" s="132"/>
      <c r="N161" s="132"/>
      <c r="O161" s="132">
        <f>SUM(P161:R161)</f>
        <v>1731366.355</v>
      </c>
      <c r="P161" s="139">
        <f>SUM(1453864+39981)</f>
        <v>1493845</v>
      </c>
      <c r="Q161" s="139">
        <v>0</v>
      </c>
      <c r="R161" s="139">
        <v>237521.35500000001</v>
      </c>
      <c r="S161" s="140"/>
      <c r="T161" s="139">
        <v>1731366.355</v>
      </c>
      <c r="U161" s="139"/>
      <c r="V161" s="139">
        <v>876358.28</v>
      </c>
      <c r="W161" s="139"/>
      <c r="X161" s="132"/>
      <c r="Y161" s="132"/>
      <c r="Z161" s="132">
        <f t="shared" si="291"/>
        <v>876358.28</v>
      </c>
      <c r="AA161" s="132">
        <f t="shared" si="292"/>
        <v>855008.07499999995</v>
      </c>
      <c r="AB161" s="132">
        <f>SUM(AC161:AE161)</f>
        <v>0</v>
      </c>
      <c r="AC161" s="139"/>
      <c r="AD161" s="139"/>
      <c r="AE161" s="139"/>
      <c r="AF161" s="140"/>
      <c r="AG161" s="91">
        <v>1731366.355</v>
      </c>
      <c r="AH161" s="91"/>
      <c r="AI161" s="91">
        <v>1335636.6599999999</v>
      </c>
      <c r="AJ161" s="91"/>
      <c r="AK161" s="90"/>
      <c r="AL161" s="90"/>
      <c r="AM161" s="90">
        <f t="shared" si="293"/>
        <v>1335636.6599999999</v>
      </c>
      <c r="AN161" s="90">
        <v>0</v>
      </c>
      <c r="AO161" s="90">
        <f>SUM(AG161-AM161)</f>
        <v>395729.69500000007</v>
      </c>
      <c r="AP161" s="132">
        <f>SUM(AQ161:AS161)</f>
        <v>0</v>
      </c>
      <c r="AQ161" s="139"/>
      <c r="AR161" s="139"/>
      <c r="AS161" s="139"/>
      <c r="AT161" s="48"/>
    </row>
    <row r="162" spans="1:46" ht="57" x14ac:dyDescent="0.35">
      <c r="B162" s="130" t="s">
        <v>271</v>
      </c>
      <c r="C162" s="130" t="s">
        <v>419</v>
      </c>
      <c r="D162" s="130"/>
      <c r="E162" s="131"/>
      <c r="F162" s="132">
        <v>2818930</v>
      </c>
      <c r="G162" s="132">
        <v>2586177</v>
      </c>
      <c r="H162" s="132">
        <f>SUM(I162:N162)</f>
        <v>3354541.219</v>
      </c>
      <c r="I162" s="139"/>
      <c r="J162" s="139">
        <v>2894341</v>
      </c>
      <c r="K162" s="139"/>
      <c r="L162" s="132">
        <f t="shared" si="281"/>
        <v>460200.21899999998</v>
      </c>
      <c r="M162" s="132"/>
      <c r="N162" s="132"/>
      <c r="O162" s="132">
        <f>SUM(P162:R162)</f>
        <v>3354541.219</v>
      </c>
      <c r="P162" s="139">
        <f>SUM(2581035-167437+220016+108622)+75411</f>
        <v>2817647</v>
      </c>
      <c r="Q162" s="139">
        <v>76694</v>
      </c>
      <c r="R162" s="139">
        <v>460200.21899999998</v>
      </c>
      <c r="S162" s="140"/>
      <c r="T162" s="139">
        <v>3354541.219</v>
      </c>
      <c r="U162" s="139"/>
      <c r="V162" s="139">
        <v>1358598.96</v>
      </c>
      <c r="W162" s="139"/>
      <c r="X162" s="132"/>
      <c r="Y162" s="132"/>
      <c r="Z162" s="132">
        <f t="shared" si="291"/>
        <v>1358598.96</v>
      </c>
      <c r="AA162" s="132">
        <f t="shared" si="292"/>
        <v>1995942.2590000001</v>
      </c>
      <c r="AB162" s="132">
        <f>SUM(AC162:AE162)</f>
        <v>0</v>
      </c>
      <c r="AC162" s="139"/>
      <c r="AD162" s="139"/>
      <c r="AE162" s="139"/>
      <c r="AF162" s="140"/>
      <c r="AG162" s="91">
        <v>3354541.219</v>
      </c>
      <c r="AH162" s="91"/>
      <c r="AI162" s="91">
        <v>2073785.54</v>
      </c>
      <c r="AJ162" s="91"/>
      <c r="AK162" s="90"/>
      <c r="AL162" s="90"/>
      <c r="AM162" s="90">
        <f t="shared" si="293"/>
        <v>2073785.54</v>
      </c>
      <c r="AN162" s="90">
        <v>0</v>
      </c>
      <c r="AO162" s="90">
        <f>SUM(AG162-AM162)</f>
        <v>1280755.679</v>
      </c>
      <c r="AP162" s="132">
        <f>SUM(AQ162:AS162)</f>
        <v>0</v>
      </c>
      <c r="AQ162" s="139"/>
      <c r="AR162" s="139"/>
      <c r="AS162" s="139"/>
      <c r="AT162" s="48"/>
    </row>
    <row r="163" spans="1:46" ht="28.5" x14ac:dyDescent="0.35">
      <c r="B163" s="161"/>
      <c r="C163" s="161"/>
      <c r="D163" s="161"/>
      <c r="E163" s="136"/>
      <c r="F163" s="125"/>
      <c r="G163" s="125"/>
      <c r="H163" s="125"/>
      <c r="I163" s="125"/>
      <c r="J163" s="125"/>
      <c r="K163" s="125"/>
      <c r="L163" s="125"/>
      <c r="M163" s="125"/>
      <c r="N163" s="125"/>
      <c r="O163" s="125"/>
      <c r="P163" s="125"/>
      <c r="Q163" s="125"/>
      <c r="R163" s="125"/>
      <c r="S163" s="126"/>
      <c r="T163" s="125"/>
      <c r="U163" s="125"/>
      <c r="V163" s="125"/>
      <c r="W163" s="125"/>
      <c r="X163" s="125"/>
      <c r="Y163" s="125"/>
      <c r="Z163" s="125"/>
      <c r="AA163" s="125"/>
      <c r="AB163" s="125"/>
      <c r="AC163" s="125"/>
      <c r="AD163" s="125"/>
      <c r="AE163" s="125"/>
      <c r="AF163" s="126"/>
      <c r="AG163" s="88"/>
      <c r="AH163" s="88"/>
      <c r="AI163" s="88"/>
      <c r="AJ163" s="88"/>
      <c r="AK163" s="88"/>
      <c r="AL163" s="88"/>
      <c r="AM163" s="88"/>
      <c r="AN163" s="88"/>
      <c r="AO163" s="88"/>
      <c r="AP163" s="125"/>
      <c r="AQ163" s="125"/>
      <c r="AR163" s="125"/>
      <c r="AS163" s="125"/>
      <c r="AT163" s="45"/>
    </row>
    <row r="164" spans="1:46" ht="28.5" x14ac:dyDescent="0.35">
      <c r="B164" s="166"/>
      <c r="C164" s="166"/>
      <c r="D164" s="166"/>
      <c r="E164" s="96"/>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c r="AP164" s="97"/>
      <c r="AQ164" s="97"/>
      <c r="AR164" s="97"/>
      <c r="AS164" s="97"/>
    </row>
    <row r="165" spans="1:46" ht="28.5" x14ac:dyDescent="0.65">
      <c r="B165" s="169" t="s">
        <v>273</v>
      </c>
      <c r="C165" s="169"/>
      <c r="D165" s="169"/>
      <c r="E165" s="122" t="s">
        <v>274</v>
      </c>
      <c r="F165" s="123">
        <f>+F167+F170+F173</f>
        <v>0</v>
      </c>
      <c r="G165" s="123">
        <f>+G167+G170+G173</f>
        <v>0</v>
      </c>
      <c r="H165" s="123">
        <f>+H167+H170+H173</f>
        <v>83000</v>
      </c>
      <c r="I165" s="123">
        <f>+I167+I170+I173</f>
        <v>83000</v>
      </c>
      <c r="J165" s="123">
        <f>+J167+J170+J173</f>
        <v>0</v>
      </c>
      <c r="K165" s="123">
        <f t="shared" ref="K165:AF165" si="294">+K167+K170+K173</f>
        <v>0</v>
      </c>
      <c r="L165" s="123">
        <f t="shared" si="294"/>
        <v>0</v>
      </c>
      <c r="M165" s="123">
        <f t="shared" si="294"/>
        <v>0</v>
      </c>
      <c r="N165" s="123">
        <f t="shared" si="294"/>
        <v>0</v>
      </c>
      <c r="O165" s="123">
        <f t="shared" si="294"/>
        <v>0</v>
      </c>
      <c r="P165" s="123">
        <f t="shared" si="294"/>
        <v>0</v>
      </c>
      <c r="Q165" s="123">
        <f t="shared" si="294"/>
        <v>0</v>
      </c>
      <c r="R165" s="123">
        <f t="shared" si="294"/>
        <v>0</v>
      </c>
      <c r="S165" s="123"/>
      <c r="T165" s="123">
        <f t="shared" si="294"/>
        <v>83000</v>
      </c>
      <c r="U165" s="123">
        <f t="shared" si="294"/>
        <v>0</v>
      </c>
      <c r="V165" s="123">
        <f t="shared" si="294"/>
        <v>0</v>
      </c>
      <c r="W165" s="123">
        <f t="shared" si="294"/>
        <v>0</v>
      </c>
      <c r="X165" s="123">
        <f t="shared" si="294"/>
        <v>0</v>
      </c>
      <c r="Y165" s="123">
        <f t="shared" si="294"/>
        <v>0</v>
      </c>
      <c r="Z165" s="123">
        <f t="shared" si="294"/>
        <v>0</v>
      </c>
      <c r="AA165" s="123">
        <f t="shared" si="294"/>
        <v>83000</v>
      </c>
      <c r="AB165" s="123">
        <f t="shared" si="294"/>
        <v>0</v>
      </c>
      <c r="AC165" s="123">
        <f t="shared" si="294"/>
        <v>0</v>
      </c>
      <c r="AD165" s="123">
        <f t="shared" si="294"/>
        <v>0</v>
      </c>
      <c r="AE165" s="123">
        <f t="shared" si="294"/>
        <v>0</v>
      </c>
      <c r="AF165" s="123">
        <f t="shared" si="294"/>
        <v>0</v>
      </c>
      <c r="AG165" s="87">
        <v>83000</v>
      </c>
      <c r="AH165" s="87" t="e">
        <f>+AH167+AH170+AH173+#REF!</f>
        <v>#REF!</v>
      </c>
      <c r="AI165" s="87" t="e">
        <f>+AI167+AI170+AI173+#REF!</f>
        <v>#REF!</v>
      </c>
      <c r="AJ165" s="87" t="e">
        <f>+AJ167+AJ170+AJ173+#REF!</f>
        <v>#REF!</v>
      </c>
      <c r="AK165" s="87" t="e">
        <f>+AK167+AK170+AK173+#REF!</f>
        <v>#REF!</v>
      </c>
      <c r="AL165" s="87" t="e">
        <f>+AL167+AL170+AL173+#REF!</f>
        <v>#REF!</v>
      </c>
      <c r="AM165" s="87">
        <f>+AM167+AM170+AM173</f>
        <v>0</v>
      </c>
      <c r="AN165" s="87">
        <f>+AN167+AN170+AN173</f>
        <v>0</v>
      </c>
      <c r="AO165" s="87">
        <f>+AO167+AO170+AO173</f>
        <v>83000</v>
      </c>
      <c r="AP165" s="123" t="e">
        <f>+AP167+AP170+AP173+#REF!</f>
        <v>#REF!</v>
      </c>
      <c r="AQ165" s="123" t="e">
        <f>+AQ167+AQ170+AQ173+#REF!</f>
        <v>#REF!</v>
      </c>
      <c r="AR165" s="123" t="e">
        <f>+AR167+AR170+AR173+#REF!</f>
        <v>#REF!</v>
      </c>
      <c r="AS165" s="123" t="e">
        <f>+AS167+AS170+AS173+#REF!</f>
        <v>#REF!</v>
      </c>
      <c r="AT165" s="8" t="e">
        <f>+AT167+AT170+AT173+#REF!</f>
        <v>#REF!</v>
      </c>
    </row>
    <row r="166" spans="1:46" ht="85.5" x14ac:dyDescent="0.65">
      <c r="B166" s="121" t="s">
        <v>275</v>
      </c>
      <c r="C166" s="191"/>
      <c r="D166" s="121"/>
      <c r="E166" s="124"/>
      <c r="F166" s="125"/>
      <c r="G166" s="125"/>
      <c r="H166" s="125"/>
      <c r="I166" s="125"/>
      <c r="J166" s="125"/>
      <c r="K166" s="125"/>
      <c r="L166" s="125"/>
      <c r="M166" s="125"/>
      <c r="N166" s="125"/>
      <c r="O166" s="125"/>
      <c r="P166" s="125"/>
      <c r="Q166" s="125"/>
      <c r="R166" s="125"/>
      <c r="S166" s="126"/>
      <c r="T166" s="125"/>
      <c r="U166" s="125"/>
      <c r="V166" s="125"/>
      <c r="W166" s="125"/>
      <c r="X166" s="125"/>
      <c r="Y166" s="125"/>
      <c r="Z166" s="125"/>
      <c r="AA166" s="125"/>
      <c r="AB166" s="125"/>
      <c r="AC166" s="125"/>
      <c r="AD166" s="125"/>
      <c r="AE166" s="125"/>
      <c r="AF166" s="126"/>
      <c r="AG166" s="88"/>
      <c r="AH166" s="88"/>
      <c r="AI166" s="88"/>
      <c r="AJ166" s="88"/>
      <c r="AK166" s="88"/>
      <c r="AL166" s="88"/>
      <c r="AM166" s="88"/>
      <c r="AN166" s="88"/>
      <c r="AO166" s="88"/>
      <c r="AP166" s="125"/>
      <c r="AQ166" s="125"/>
      <c r="AR166" s="125"/>
      <c r="AS166" s="125"/>
      <c r="AT166" s="45"/>
    </row>
    <row r="167" spans="1:46" ht="57" x14ac:dyDescent="0.65">
      <c r="A167" s="1">
        <v>4.0999999999999996</v>
      </c>
      <c r="B167" s="170" t="s">
        <v>276</v>
      </c>
      <c r="C167" s="198" t="s">
        <v>445</v>
      </c>
      <c r="D167" s="199"/>
      <c r="E167" s="127"/>
      <c r="F167" s="128">
        <f t="shared" ref="F167:R167" si="295">+SUM(F168:F168)</f>
        <v>0</v>
      </c>
      <c r="G167" s="128">
        <f t="shared" si="295"/>
        <v>0</v>
      </c>
      <c r="H167" s="128">
        <f t="shared" si="295"/>
        <v>23000</v>
      </c>
      <c r="I167" s="128">
        <f t="shared" si="295"/>
        <v>23000</v>
      </c>
      <c r="J167" s="128">
        <f t="shared" si="295"/>
        <v>0</v>
      </c>
      <c r="K167" s="128">
        <f t="shared" si="295"/>
        <v>0</v>
      </c>
      <c r="L167" s="128">
        <f t="shared" si="295"/>
        <v>0</v>
      </c>
      <c r="M167" s="128">
        <f t="shared" si="295"/>
        <v>0</v>
      </c>
      <c r="N167" s="128">
        <f t="shared" si="295"/>
        <v>0</v>
      </c>
      <c r="O167" s="128">
        <f t="shared" si="295"/>
        <v>0</v>
      </c>
      <c r="P167" s="128">
        <f t="shared" si="295"/>
        <v>0</v>
      </c>
      <c r="Q167" s="128">
        <f t="shared" si="295"/>
        <v>0</v>
      </c>
      <c r="R167" s="128">
        <f t="shared" si="295"/>
        <v>0</v>
      </c>
      <c r="S167" s="128"/>
      <c r="T167" s="128">
        <v>23000</v>
      </c>
      <c r="U167" s="128">
        <f t="shared" ref="U167:AE167" si="296">+SUM(U168:U168)</f>
        <v>0</v>
      </c>
      <c r="V167" s="128">
        <f t="shared" si="296"/>
        <v>0</v>
      </c>
      <c r="W167" s="128">
        <f t="shared" si="296"/>
        <v>0</v>
      </c>
      <c r="X167" s="128">
        <f t="shared" si="296"/>
        <v>0</v>
      </c>
      <c r="Y167" s="128">
        <f t="shared" si="296"/>
        <v>0</v>
      </c>
      <c r="Z167" s="128">
        <f t="shared" si="296"/>
        <v>0</v>
      </c>
      <c r="AA167" s="128">
        <f t="shared" si="296"/>
        <v>23000</v>
      </c>
      <c r="AB167" s="128">
        <f t="shared" si="296"/>
        <v>0</v>
      </c>
      <c r="AC167" s="128">
        <f t="shared" si="296"/>
        <v>0</v>
      </c>
      <c r="AD167" s="128">
        <f t="shared" si="296"/>
        <v>0</v>
      </c>
      <c r="AE167" s="128">
        <f t="shared" si="296"/>
        <v>0</v>
      </c>
      <c r="AF167" s="128">
        <f t="shared" ref="AF167" si="297">+SUM(AF168:AF168)</f>
        <v>0</v>
      </c>
      <c r="AG167" s="89">
        <v>23000</v>
      </c>
      <c r="AH167" s="89">
        <f t="shared" ref="AH167:AT167" si="298">+SUM(AH168:AH168)</f>
        <v>0</v>
      </c>
      <c r="AI167" s="89">
        <f t="shared" si="298"/>
        <v>0</v>
      </c>
      <c r="AJ167" s="89">
        <f t="shared" si="298"/>
        <v>0</v>
      </c>
      <c r="AK167" s="89">
        <f t="shared" si="298"/>
        <v>0</v>
      </c>
      <c r="AL167" s="89">
        <f t="shared" si="298"/>
        <v>0</v>
      </c>
      <c r="AM167" s="89">
        <f t="shared" si="298"/>
        <v>0</v>
      </c>
      <c r="AN167" s="89">
        <f t="shared" si="298"/>
        <v>0</v>
      </c>
      <c r="AO167" s="89">
        <f t="shared" si="298"/>
        <v>23000</v>
      </c>
      <c r="AP167" s="128">
        <f t="shared" si="298"/>
        <v>0</v>
      </c>
      <c r="AQ167" s="128">
        <f t="shared" si="298"/>
        <v>0</v>
      </c>
      <c r="AR167" s="128">
        <f t="shared" si="298"/>
        <v>0</v>
      </c>
      <c r="AS167" s="128">
        <f t="shared" si="298"/>
        <v>0</v>
      </c>
      <c r="AT167" s="11">
        <f t="shared" si="298"/>
        <v>0</v>
      </c>
    </row>
    <row r="168" spans="1:46" ht="409.5" x14ac:dyDescent="0.35">
      <c r="B168" s="130" t="s">
        <v>277</v>
      </c>
      <c r="C168" s="130" t="s">
        <v>420</v>
      </c>
      <c r="D168" s="130"/>
      <c r="E168" s="131"/>
      <c r="F168" s="132"/>
      <c r="G168" s="132"/>
      <c r="H168" s="132">
        <f t="shared" ref="H168" si="299">SUM(I168:N168)</f>
        <v>23000</v>
      </c>
      <c r="I168" s="132">
        <v>23000</v>
      </c>
      <c r="J168" s="132">
        <v>0</v>
      </c>
      <c r="K168" s="132">
        <v>0</v>
      </c>
      <c r="L168" s="132">
        <v>0</v>
      </c>
      <c r="M168" s="132"/>
      <c r="N168" s="132"/>
      <c r="O168" s="132">
        <f>SUM(P168:R168)</f>
        <v>0</v>
      </c>
      <c r="P168" s="132"/>
      <c r="Q168" s="132"/>
      <c r="R168" s="132"/>
      <c r="S168" s="134"/>
      <c r="T168" s="132">
        <v>23000</v>
      </c>
      <c r="U168" s="132"/>
      <c r="V168" s="132"/>
      <c r="W168" s="132"/>
      <c r="X168" s="132"/>
      <c r="Y168" s="132"/>
      <c r="Z168" s="132">
        <f t="shared" ref="Z168" si="300">SUM(U168:Y168)</f>
        <v>0</v>
      </c>
      <c r="AA168" s="132">
        <f t="shared" ref="AA168" si="301">SUM(T168-Z168)</f>
        <v>23000</v>
      </c>
      <c r="AB168" s="132">
        <f>SUM(AC168:AE168)</f>
        <v>0</v>
      </c>
      <c r="AC168" s="132"/>
      <c r="AD168" s="132"/>
      <c r="AE168" s="132"/>
      <c r="AF168" s="134"/>
      <c r="AG168" s="90">
        <v>23000</v>
      </c>
      <c r="AH168" s="90"/>
      <c r="AI168" s="90"/>
      <c r="AJ168" s="90"/>
      <c r="AK168" s="90"/>
      <c r="AL168" s="90"/>
      <c r="AM168" s="90">
        <f t="shared" ref="AM168:AN168" si="302">SUM(AH168:AL168)</f>
        <v>0</v>
      </c>
      <c r="AN168" s="90">
        <f t="shared" si="302"/>
        <v>0</v>
      </c>
      <c r="AO168" s="90">
        <f>SUM(AG168-AM168)</f>
        <v>23000</v>
      </c>
      <c r="AP168" s="132">
        <f>SUM(AQ168:AS168)</f>
        <v>0</v>
      </c>
      <c r="AQ168" s="132"/>
      <c r="AR168" s="132"/>
      <c r="AS168" s="132"/>
      <c r="AT168" s="47"/>
    </row>
    <row r="169" spans="1:46" ht="28.5" x14ac:dyDescent="0.35">
      <c r="B169" s="161"/>
      <c r="C169" s="161"/>
      <c r="D169" s="161"/>
      <c r="E169" s="136"/>
      <c r="F169" s="125"/>
      <c r="G169" s="125"/>
      <c r="H169" s="125"/>
      <c r="I169" s="125"/>
      <c r="J169" s="125"/>
      <c r="K169" s="125"/>
      <c r="L169" s="125"/>
      <c r="M169" s="125"/>
      <c r="N169" s="125"/>
      <c r="O169" s="125"/>
      <c r="P169" s="125"/>
      <c r="Q169" s="125"/>
      <c r="R169" s="125"/>
      <c r="S169" s="126"/>
      <c r="T169" s="125"/>
      <c r="U169" s="125"/>
      <c r="V169" s="125"/>
      <c r="W169" s="125"/>
      <c r="X169" s="125"/>
      <c r="Y169" s="125"/>
      <c r="Z169" s="125"/>
      <c r="AA169" s="125"/>
      <c r="AB169" s="125"/>
      <c r="AC169" s="125"/>
      <c r="AD169" s="125"/>
      <c r="AE169" s="125"/>
      <c r="AF169" s="126"/>
      <c r="AG169" s="88"/>
      <c r="AH169" s="88"/>
      <c r="AI169" s="88"/>
      <c r="AJ169" s="88"/>
      <c r="AK169" s="88"/>
      <c r="AL169" s="88"/>
      <c r="AM169" s="88"/>
      <c r="AN169" s="88"/>
      <c r="AO169" s="88"/>
      <c r="AP169" s="125"/>
      <c r="AQ169" s="125"/>
      <c r="AR169" s="125"/>
      <c r="AS169" s="125"/>
      <c r="AT169" s="45"/>
    </row>
    <row r="170" spans="1:46" ht="28.5" x14ac:dyDescent="0.65">
      <c r="A170" s="1">
        <v>4.2</v>
      </c>
      <c r="B170" s="170" t="s">
        <v>278</v>
      </c>
      <c r="C170" s="198" t="s">
        <v>446</v>
      </c>
      <c r="D170" s="199"/>
      <c r="E170" s="127"/>
      <c r="F170" s="128">
        <f t="shared" ref="F170:R170" si="303">+SUM(F171:F171)</f>
        <v>0</v>
      </c>
      <c r="G170" s="128">
        <f t="shared" si="303"/>
        <v>0</v>
      </c>
      <c r="H170" s="128">
        <f t="shared" si="303"/>
        <v>26000</v>
      </c>
      <c r="I170" s="128">
        <f t="shared" si="303"/>
        <v>26000</v>
      </c>
      <c r="J170" s="128">
        <f t="shared" si="303"/>
        <v>0</v>
      </c>
      <c r="K170" s="128">
        <f t="shared" si="303"/>
        <v>0</v>
      </c>
      <c r="L170" s="128">
        <f t="shared" si="303"/>
        <v>0</v>
      </c>
      <c r="M170" s="128">
        <f t="shared" si="303"/>
        <v>0</v>
      </c>
      <c r="N170" s="128">
        <f t="shared" si="303"/>
        <v>0</v>
      </c>
      <c r="O170" s="128">
        <f t="shared" si="303"/>
        <v>0</v>
      </c>
      <c r="P170" s="128">
        <f t="shared" si="303"/>
        <v>0</v>
      </c>
      <c r="Q170" s="128">
        <f t="shared" si="303"/>
        <v>0</v>
      </c>
      <c r="R170" s="128">
        <f t="shared" si="303"/>
        <v>0</v>
      </c>
      <c r="S170" s="128"/>
      <c r="T170" s="128">
        <v>26000</v>
      </c>
      <c r="U170" s="128">
        <f t="shared" ref="U170:AE170" si="304">+SUM(U171:U171)</f>
        <v>0</v>
      </c>
      <c r="V170" s="128">
        <f t="shared" si="304"/>
        <v>0</v>
      </c>
      <c r="W170" s="128">
        <f t="shared" si="304"/>
        <v>0</v>
      </c>
      <c r="X170" s="128">
        <f t="shared" si="304"/>
        <v>0</v>
      </c>
      <c r="Y170" s="128">
        <f t="shared" si="304"/>
        <v>0</v>
      </c>
      <c r="Z170" s="128">
        <f t="shared" si="304"/>
        <v>0</v>
      </c>
      <c r="AA170" s="128">
        <f t="shared" si="304"/>
        <v>26000</v>
      </c>
      <c r="AB170" s="128">
        <f t="shared" si="304"/>
        <v>0</v>
      </c>
      <c r="AC170" s="128">
        <f t="shared" si="304"/>
        <v>0</v>
      </c>
      <c r="AD170" s="128">
        <f t="shared" si="304"/>
        <v>0</v>
      </c>
      <c r="AE170" s="128">
        <f t="shared" si="304"/>
        <v>0</v>
      </c>
      <c r="AF170" s="128">
        <f t="shared" ref="AF170" si="305">+SUM(AF171:AF171)</f>
        <v>0</v>
      </c>
      <c r="AG170" s="89">
        <v>26000</v>
      </c>
      <c r="AH170" s="89">
        <f t="shared" ref="AH170:AT170" si="306">+SUM(AH171:AH171)</f>
        <v>0</v>
      </c>
      <c r="AI170" s="89">
        <f t="shared" si="306"/>
        <v>0</v>
      </c>
      <c r="AJ170" s="89">
        <f t="shared" si="306"/>
        <v>0</v>
      </c>
      <c r="AK170" s="89">
        <f t="shared" si="306"/>
        <v>0</v>
      </c>
      <c r="AL170" s="89">
        <f t="shared" si="306"/>
        <v>0</v>
      </c>
      <c r="AM170" s="89">
        <f t="shared" si="306"/>
        <v>0</v>
      </c>
      <c r="AN170" s="89">
        <f t="shared" si="306"/>
        <v>0</v>
      </c>
      <c r="AO170" s="89">
        <f t="shared" si="306"/>
        <v>26000</v>
      </c>
      <c r="AP170" s="128">
        <f t="shared" si="306"/>
        <v>0</v>
      </c>
      <c r="AQ170" s="128">
        <f t="shared" si="306"/>
        <v>0</v>
      </c>
      <c r="AR170" s="128">
        <f t="shared" si="306"/>
        <v>0</v>
      </c>
      <c r="AS170" s="128">
        <f t="shared" si="306"/>
        <v>0</v>
      </c>
      <c r="AT170" s="11">
        <f t="shared" si="306"/>
        <v>0</v>
      </c>
    </row>
    <row r="171" spans="1:46" ht="348.75" customHeight="1" x14ac:dyDescent="0.35">
      <c r="B171" s="129" t="s">
        <v>279</v>
      </c>
      <c r="C171" s="129" t="s">
        <v>421</v>
      </c>
      <c r="D171" s="129"/>
      <c r="E171" s="131"/>
      <c r="F171" s="132"/>
      <c r="G171" s="132"/>
      <c r="H171" s="132">
        <f t="shared" ref="H171" si="307">SUM(I171:N171)</f>
        <v>26000</v>
      </c>
      <c r="I171" s="132">
        <v>26000</v>
      </c>
      <c r="J171" s="132">
        <v>0</v>
      </c>
      <c r="K171" s="132">
        <v>0</v>
      </c>
      <c r="L171" s="132">
        <v>0</v>
      </c>
      <c r="M171" s="132"/>
      <c r="N171" s="132"/>
      <c r="O171" s="132">
        <f t="shared" ref="O171" si="308">SUM(P171:R171)</f>
        <v>0</v>
      </c>
      <c r="P171" s="132"/>
      <c r="Q171" s="132"/>
      <c r="R171" s="132"/>
      <c r="S171" s="134"/>
      <c r="T171" s="132">
        <v>26000</v>
      </c>
      <c r="U171" s="132"/>
      <c r="V171" s="132"/>
      <c r="W171" s="132"/>
      <c r="X171" s="132"/>
      <c r="Y171" s="132"/>
      <c r="Z171" s="132">
        <f t="shared" ref="Z171" si="309">SUM(U171:Y171)</f>
        <v>0</v>
      </c>
      <c r="AA171" s="132">
        <f t="shared" ref="AA171" si="310">SUM(T171-Z171)</f>
        <v>26000</v>
      </c>
      <c r="AB171" s="132">
        <f t="shared" ref="AB171" si="311">SUM(AC171:AE171)</f>
        <v>0</v>
      </c>
      <c r="AC171" s="132"/>
      <c r="AD171" s="132"/>
      <c r="AE171" s="132"/>
      <c r="AF171" s="134"/>
      <c r="AG171" s="90">
        <v>26000</v>
      </c>
      <c r="AH171" s="90"/>
      <c r="AI171" s="90"/>
      <c r="AJ171" s="90"/>
      <c r="AK171" s="90"/>
      <c r="AL171" s="90"/>
      <c r="AM171" s="90">
        <f t="shared" ref="AM171:AN171" si="312">SUM(AH171:AL171)</f>
        <v>0</v>
      </c>
      <c r="AN171" s="90">
        <f t="shared" si="312"/>
        <v>0</v>
      </c>
      <c r="AO171" s="90">
        <f>SUM(AG171-AM171)</f>
        <v>26000</v>
      </c>
      <c r="AP171" s="132">
        <f t="shared" ref="AP171" si="313">SUM(AQ171:AS171)</f>
        <v>0</v>
      </c>
      <c r="AQ171" s="132"/>
      <c r="AR171" s="132"/>
      <c r="AS171" s="132"/>
      <c r="AT171" s="47"/>
    </row>
    <row r="172" spans="1:46" ht="28.5" x14ac:dyDescent="0.35">
      <c r="B172" s="161"/>
      <c r="C172" s="161"/>
      <c r="D172" s="161"/>
      <c r="E172" s="136"/>
      <c r="F172" s="125"/>
      <c r="G172" s="125"/>
      <c r="H172" s="125"/>
      <c r="I172" s="125"/>
      <c r="J172" s="125"/>
      <c r="K172" s="125"/>
      <c r="L172" s="125"/>
      <c r="M172" s="125"/>
      <c r="N172" s="125"/>
      <c r="O172" s="125"/>
      <c r="P172" s="125"/>
      <c r="Q172" s="125"/>
      <c r="R172" s="125"/>
      <c r="S172" s="126"/>
      <c r="T172" s="125"/>
      <c r="U172" s="125"/>
      <c r="V172" s="125"/>
      <c r="W172" s="125"/>
      <c r="X172" s="125"/>
      <c r="Y172" s="125"/>
      <c r="Z172" s="125"/>
      <c r="AA172" s="125"/>
      <c r="AB172" s="125"/>
      <c r="AC172" s="125"/>
      <c r="AD172" s="125"/>
      <c r="AE172" s="125"/>
      <c r="AF172" s="126"/>
      <c r="AG172" s="88"/>
      <c r="AH172" s="88"/>
      <c r="AI172" s="88"/>
      <c r="AJ172" s="88"/>
      <c r="AK172" s="88"/>
      <c r="AL172" s="88"/>
      <c r="AM172" s="88"/>
      <c r="AN172" s="88"/>
      <c r="AO172" s="88"/>
      <c r="AP172" s="125"/>
      <c r="AQ172" s="125"/>
      <c r="AR172" s="125"/>
      <c r="AS172" s="125"/>
      <c r="AT172" s="45"/>
    </row>
    <row r="173" spans="1:46" ht="57" x14ac:dyDescent="0.65">
      <c r="A173" s="1">
        <v>4.3</v>
      </c>
      <c r="B173" s="170" t="s">
        <v>281</v>
      </c>
      <c r="C173" s="198" t="s">
        <v>447</v>
      </c>
      <c r="D173" s="199"/>
      <c r="E173" s="127"/>
      <c r="F173" s="128">
        <f t="shared" ref="F173:S173" si="314">+SUM(F174:F174)</f>
        <v>0</v>
      </c>
      <c r="G173" s="128">
        <f t="shared" si="314"/>
        <v>0</v>
      </c>
      <c r="H173" s="128">
        <f t="shared" si="314"/>
        <v>34000</v>
      </c>
      <c r="I173" s="128">
        <f t="shared" si="314"/>
        <v>34000</v>
      </c>
      <c r="J173" s="128">
        <f t="shared" si="314"/>
        <v>0</v>
      </c>
      <c r="K173" s="128">
        <f t="shared" si="314"/>
        <v>0</v>
      </c>
      <c r="L173" s="128">
        <f t="shared" si="314"/>
        <v>0</v>
      </c>
      <c r="M173" s="128">
        <f t="shared" si="314"/>
        <v>0</v>
      </c>
      <c r="N173" s="128">
        <f t="shared" si="314"/>
        <v>0</v>
      </c>
      <c r="O173" s="128">
        <f t="shared" si="314"/>
        <v>0</v>
      </c>
      <c r="P173" s="128">
        <f t="shared" si="314"/>
        <v>0</v>
      </c>
      <c r="Q173" s="128">
        <f t="shared" si="314"/>
        <v>0</v>
      </c>
      <c r="R173" s="128">
        <f t="shared" si="314"/>
        <v>0</v>
      </c>
      <c r="S173" s="128">
        <f t="shared" si="314"/>
        <v>0</v>
      </c>
      <c r="T173" s="128">
        <v>34000</v>
      </c>
      <c r="U173" s="128">
        <f t="shared" ref="U173:AE173" si="315">+SUM(U174:U174)</f>
        <v>0</v>
      </c>
      <c r="V173" s="128">
        <f t="shared" si="315"/>
        <v>0</v>
      </c>
      <c r="W173" s="128">
        <f t="shared" si="315"/>
        <v>0</v>
      </c>
      <c r="X173" s="128">
        <f t="shared" si="315"/>
        <v>0</v>
      </c>
      <c r="Y173" s="128">
        <f t="shared" si="315"/>
        <v>0</v>
      </c>
      <c r="Z173" s="128">
        <f t="shared" si="315"/>
        <v>0</v>
      </c>
      <c r="AA173" s="128">
        <f t="shared" si="315"/>
        <v>34000</v>
      </c>
      <c r="AB173" s="128">
        <f t="shared" si="315"/>
        <v>0</v>
      </c>
      <c r="AC173" s="128">
        <f t="shared" si="315"/>
        <v>0</v>
      </c>
      <c r="AD173" s="128">
        <f t="shared" si="315"/>
        <v>0</v>
      </c>
      <c r="AE173" s="128">
        <f t="shared" si="315"/>
        <v>0</v>
      </c>
      <c r="AF173" s="128">
        <f t="shared" ref="AF173" si="316">+SUM(AF174:AF174)</f>
        <v>0</v>
      </c>
      <c r="AG173" s="89">
        <v>34000</v>
      </c>
      <c r="AH173" s="89">
        <f t="shared" ref="AH173:AT173" si="317">+SUM(AH174:AH174)</f>
        <v>0</v>
      </c>
      <c r="AI173" s="89">
        <f t="shared" si="317"/>
        <v>0</v>
      </c>
      <c r="AJ173" s="89">
        <f t="shared" si="317"/>
        <v>0</v>
      </c>
      <c r="AK173" s="89">
        <f t="shared" si="317"/>
        <v>0</v>
      </c>
      <c r="AL173" s="89">
        <f t="shared" si="317"/>
        <v>0</v>
      </c>
      <c r="AM173" s="89">
        <f t="shared" si="317"/>
        <v>0</v>
      </c>
      <c r="AN173" s="89">
        <f t="shared" si="317"/>
        <v>0</v>
      </c>
      <c r="AO173" s="89">
        <f t="shared" si="317"/>
        <v>34000</v>
      </c>
      <c r="AP173" s="128">
        <f t="shared" si="317"/>
        <v>0</v>
      </c>
      <c r="AQ173" s="128">
        <f t="shared" si="317"/>
        <v>0</v>
      </c>
      <c r="AR173" s="128">
        <f t="shared" si="317"/>
        <v>0</v>
      </c>
      <c r="AS173" s="128">
        <f t="shared" si="317"/>
        <v>0</v>
      </c>
      <c r="AT173" s="11">
        <f t="shared" si="317"/>
        <v>0</v>
      </c>
    </row>
    <row r="174" spans="1:46" ht="307.5" customHeight="1" x14ac:dyDescent="0.35">
      <c r="B174" s="129" t="s">
        <v>282</v>
      </c>
      <c r="C174" s="129" t="s">
        <v>422</v>
      </c>
      <c r="D174" s="129"/>
      <c r="E174" s="131"/>
      <c r="F174" s="132"/>
      <c r="G174" s="132"/>
      <c r="H174" s="132">
        <f t="shared" ref="H174" si="318">SUM(I174:N174)</f>
        <v>34000</v>
      </c>
      <c r="I174" s="132">
        <v>34000</v>
      </c>
      <c r="J174" s="132">
        <v>0</v>
      </c>
      <c r="K174" s="132">
        <v>0</v>
      </c>
      <c r="L174" s="132">
        <v>0</v>
      </c>
      <c r="M174" s="132"/>
      <c r="N174" s="132"/>
      <c r="O174" s="132">
        <f t="shared" ref="O174" si="319">SUM(P174:R174)</f>
        <v>0</v>
      </c>
      <c r="P174" s="132"/>
      <c r="Q174" s="132"/>
      <c r="R174" s="132"/>
      <c r="S174" s="134"/>
      <c r="T174" s="132">
        <v>34000</v>
      </c>
      <c r="U174" s="132"/>
      <c r="V174" s="132"/>
      <c r="W174" s="132"/>
      <c r="X174" s="132"/>
      <c r="Y174" s="132"/>
      <c r="Z174" s="132">
        <f t="shared" ref="Z174" si="320">SUM(U174:Y174)</f>
        <v>0</v>
      </c>
      <c r="AA174" s="132">
        <f t="shared" ref="AA174" si="321">SUM(T174-Z174)</f>
        <v>34000</v>
      </c>
      <c r="AB174" s="132">
        <f t="shared" ref="AB174" si="322">SUM(AC174:AE174)</f>
        <v>0</v>
      </c>
      <c r="AC174" s="132"/>
      <c r="AD174" s="132"/>
      <c r="AE174" s="132"/>
      <c r="AF174" s="134"/>
      <c r="AG174" s="90">
        <v>34000</v>
      </c>
      <c r="AH174" s="90"/>
      <c r="AI174" s="90"/>
      <c r="AJ174" s="90"/>
      <c r="AK174" s="90"/>
      <c r="AL174" s="90"/>
      <c r="AM174" s="90">
        <f t="shared" ref="AM174:AN174" si="323">SUM(AH174:AL174)</f>
        <v>0</v>
      </c>
      <c r="AN174" s="90">
        <f t="shared" si="323"/>
        <v>0</v>
      </c>
      <c r="AO174" s="90">
        <f>SUM(AG174-AM174)</f>
        <v>34000</v>
      </c>
      <c r="AP174" s="132">
        <f t="shared" ref="AP174" si="324">SUM(AQ174:AS174)</f>
        <v>0</v>
      </c>
      <c r="AQ174" s="132"/>
      <c r="AR174" s="132"/>
      <c r="AS174" s="132"/>
      <c r="AT174" s="47"/>
    </row>
    <row r="175" spans="1:46" x14ac:dyDescent="0.35">
      <c r="B175" s="172"/>
      <c r="C175" s="172"/>
      <c r="D175" s="172"/>
      <c r="E175" s="10"/>
      <c r="F175" s="9"/>
      <c r="G175" s="9"/>
      <c r="H175" s="9"/>
      <c r="I175" s="9"/>
      <c r="J175" s="9"/>
      <c r="K175" s="9"/>
      <c r="L175" s="9"/>
      <c r="M175" s="9"/>
      <c r="N175" s="9"/>
      <c r="O175" s="9"/>
      <c r="P175" s="9"/>
      <c r="Q175" s="9"/>
      <c r="R175" s="9"/>
      <c r="S175" s="45"/>
      <c r="T175" s="9"/>
      <c r="U175" s="9"/>
      <c r="V175" s="9"/>
      <c r="W175" s="9"/>
      <c r="X175" s="9"/>
      <c r="Y175" s="9"/>
      <c r="Z175" s="9"/>
      <c r="AA175" s="9"/>
      <c r="AB175" s="9"/>
      <c r="AC175" s="9"/>
      <c r="AD175" s="9"/>
      <c r="AE175" s="9"/>
      <c r="AF175" s="45"/>
      <c r="AG175" s="88"/>
      <c r="AH175" s="88"/>
      <c r="AI175" s="88"/>
      <c r="AJ175" s="88"/>
      <c r="AK175" s="88"/>
      <c r="AL175" s="88"/>
      <c r="AM175" s="88"/>
      <c r="AN175" s="88"/>
      <c r="AO175" s="88"/>
      <c r="AP175" s="9"/>
      <c r="AQ175" s="9"/>
      <c r="AR175" s="9"/>
      <c r="AS175" s="9"/>
      <c r="AT175" s="45"/>
    </row>
    <row r="176" spans="1:46" x14ac:dyDescent="0.35">
      <c r="E176" s="32" t="s">
        <v>247</v>
      </c>
      <c r="S176" s="52"/>
      <c r="AF176" s="52"/>
      <c r="AT176" s="52"/>
    </row>
    <row r="177" spans="1:46" ht="28.5" x14ac:dyDescent="0.65">
      <c r="B177" s="169" t="s">
        <v>423</v>
      </c>
      <c r="C177" s="169"/>
      <c r="D177" s="169"/>
      <c r="E177" s="122" t="s">
        <v>274</v>
      </c>
      <c r="F177" s="123">
        <f t="shared" ref="F177:S177" si="325">+F179+F182+F185+F188</f>
        <v>0</v>
      </c>
      <c r="G177" s="123">
        <f t="shared" si="325"/>
        <v>0</v>
      </c>
      <c r="H177" s="123">
        <f t="shared" si="325"/>
        <v>0</v>
      </c>
      <c r="I177" s="123">
        <f t="shared" si="325"/>
        <v>0</v>
      </c>
      <c r="J177" s="123">
        <f t="shared" si="325"/>
        <v>0</v>
      </c>
      <c r="K177" s="123">
        <f t="shared" si="325"/>
        <v>0</v>
      </c>
      <c r="L177" s="123">
        <f t="shared" si="325"/>
        <v>0</v>
      </c>
      <c r="M177" s="123">
        <f t="shared" si="325"/>
        <v>0</v>
      </c>
      <c r="N177" s="123">
        <f t="shared" si="325"/>
        <v>0</v>
      </c>
      <c r="O177" s="123">
        <f t="shared" si="325"/>
        <v>0</v>
      </c>
      <c r="P177" s="123">
        <f t="shared" si="325"/>
        <v>0</v>
      </c>
      <c r="Q177" s="123">
        <f t="shared" si="325"/>
        <v>0</v>
      </c>
      <c r="R177" s="123">
        <f t="shared" si="325"/>
        <v>0</v>
      </c>
      <c r="S177" s="123">
        <f t="shared" si="325"/>
        <v>0</v>
      </c>
      <c r="T177" s="123">
        <v>83000</v>
      </c>
      <c r="U177" s="123">
        <f t="shared" ref="U177:AF177" si="326">+U179+U182+U185+U188</f>
        <v>0</v>
      </c>
      <c r="V177" s="123">
        <f t="shared" si="326"/>
        <v>0</v>
      </c>
      <c r="W177" s="123">
        <f t="shared" si="326"/>
        <v>0</v>
      </c>
      <c r="X177" s="123">
        <f t="shared" si="326"/>
        <v>0</v>
      </c>
      <c r="Y177" s="123">
        <f t="shared" si="326"/>
        <v>0</v>
      </c>
      <c r="Z177" s="123">
        <f t="shared" si="326"/>
        <v>0</v>
      </c>
      <c r="AA177" s="123">
        <f t="shared" si="326"/>
        <v>0</v>
      </c>
      <c r="AB177" s="123">
        <f t="shared" si="326"/>
        <v>0</v>
      </c>
      <c r="AC177" s="123">
        <f t="shared" si="326"/>
        <v>0</v>
      </c>
      <c r="AD177" s="123">
        <f t="shared" si="326"/>
        <v>0</v>
      </c>
      <c r="AE177" s="123">
        <f t="shared" si="326"/>
        <v>0</v>
      </c>
      <c r="AF177" s="123">
        <f t="shared" si="326"/>
        <v>0</v>
      </c>
      <c r="AG177" s="87">
        <v>83000</v>
      </c>
      <c r="AH177" s="87">
        <f t="shared" ref="AH177:AT177" si="327">+AH179+AH182+AH185+AH188</f>
        <v>0</v>
      </c>
      <c r="AI177" s="87">
        <f t="shared" si="327"/>
        <v>0</v>
      </c>
      <c r="AJ177" s="87">
        <f t="shared" si="327"/>
        <v>0</v>
      </c>
      <c r="AK177" s="87">
        <f t="shared" si="327"/>
        <v>0</v>
      </c>
      <c r="AL177" s="87">
        <f t="shared" si="327"/>
        <v>0</v>
      </c>
      <c r="AM177" s="87">
        <f t="shared" si="327"/>
        <v>0</v>
      </c>
      <c r="AN177" s="87">
        <f t="shared" si="327"/>
        <v>0</v>
      </c>
      <c r="AO177" s="87">
        <f t="shared" si="327"/>
        <v>0</v>
      </c>
      <c r="AP177" s="123">
        <f t="shared" si="327"/>
        <v>0</v>
      </c>
      <c r="AQ177" s="123">
        <f t="shared" si="327"/>
        <v>0</v>
      </c>
      <c r="AR177" s="123">
        <f t="shared" si="327"/>
        <v>0</v>
      </c>
      <c r="AS177" s="123">
        <f t="shared" si="327"/>
        <v>0</v>
      </c>
      <c r="AT177" s="8">
        <f t="shared" si="327"/>
        <v>0</v>
      </c>
    </row>
    <row r="178" spans="1:46" ht="28.5" x14ac:dyDescent="0.65">
      <c r="B178" s="121" t="s">
        <v>424</v>
      </c>
      <c r="C178" s="191"/>
      <c r="D178" s="121"/>
      <c r="E178" s="124"/>
      <c r="F178" s="125"/>
      <c r="G178" s="125"/>
      <c r="H178" s="125"/>
      <c r="I178" s="125"/>
      <c r="J178" s="125"/>
      <c r="K178" s="125"/>
      <c r="L178" s="125"/>
      <c r="M178" s="125"/>
      <c r="N178" s="125"/>
      <c r="O178" s="125"/>
      <c r="P178" s="125"/>
      <c r="Q178" s="125"/>
      <c r="R178" s="125"/>
      <c r="S178" s="126"/>
      <c r="T178" s="125"/>
      <c r="U178" s="125"/>
      <c r="V178" s="125"/>
      <c r="W178" s="125"/>
      <c r="X178" s="125"/>
      <c r="Y178" s="125"/>
      <c r="Z178" s="125"/>
      <c r="AA178" s="125"/>
      <c r="AB178" s="125"/>
      <c r="AC178" s="125"/>
      <c r="AD178" s="125"/>
      <c r="AE178" s="125"/>
      <c r="AF178" s="126"/>
      <c r="AG178" s="88"/>
      <c r="AH178" s="88"/>
      <c r="AI178" s="88"/>
      <c r="AJ178" s="88"/>
      <c r="AK178" s="88"/>
      <c r="AL178" s="88"/>
      <c r="AM178" s="88"/>
      <c r="AN178" s="88"/>
      <c r="AO178" s="88"/>
      <c r="AP178" s="125"/>
      <c r="AQ178" s="125"/>
      <c r="AR178" s="125"/>
      <c r="AS178" s="125"/>
      <c r="AT178" s="45"/>
    </row>
    <row r="179" spans="1:46" ht="28.5" x14ac:dyDescent="0.65">
      <c r="A179" s="1">
        <v>4.0999999999999996</v>
      </c>
      <c r="B179" s="170" t="s">
        <v>425</v>
      </c>
      <c r="C179" s="170"/>
      <c r="D179" s="170"/>
      <c r="E179" s="127"/>
      <c r="F179" s="128">
        <f t="shared" ref="F179:S179" si="328">+SUM(F180:F180)</f>
        <v>0</v>
      </c>
      <c r="G179" s="128">
        <f t="shared" si="328"/>
        <v>0</v>
      </c>
      <c r="H179" s="128">
        <f t="shared" si="328"/>
        <v>0</v>
      </c>
      <c r="I179" s="128">
        <f t="shared" si="328"/>
        <v>0</v>
      </c>
      <c r="J179" s="128">
        <f t="shared" si="328"/>
        <v>0</v>
      </c>
      <c r="K179" s="128">
        <f t="shared" si="328"/>
        <v>0</v>
      </c>
      <c r="L179" s="128">
        <f t="shared" si="328"/>
        <v>0</v>
      </c>
      <c r="M179" s="128">
        <f t="shared" si="328"/>
        <v>0</v>
      </c>
      <c r="N179" s="128">
        <f t="shared" si="328"/>
        <v>0</v>
      </c>
      <c r="O179" s="128">
        <f t="shared" si="328"/>
        <v>0</v>
      </c>
      <c r="P179" s="128">
        <f t="shared" si="328"/>
        <v>0</v>
      </c>
      <c r="Q179" s="128">
        <f t="shared" si="328"/>
        <v>0</v>
      </c>
      <c r="R179" s="128">
        <f t="shared" si="328"/>
        <v>0</v>
      </c>
      <c r="S179" s="128">
        <f t="shared" si="328"/>
        <v>0</v>
      </c>
      <c r="T179" s="128">
        <v>23000</v>
      </c>
      <c r="U179" s="128">
        <f t="shared" ref="U179:AE179" si="329">+SUM(U180:U180)</f>
        <v>0</v>
      </c>
      <c r="V179" s="128">
        <f t="shared" si="329"/>
        <v>0</v>
      </c>
      <c r="W179" s="128">
        <f t="shared" si="329"/>
        <v>0</v>
      </c>
      <c r="X179" s="128">
        <f t="shared" si="329"/>
        <v>0</v>
      </c>
      <c r="Y179" s="128">
        <f t="shared" si="329"/>
        <v>0</v>
      </c>
      <c r="Z179" s="128">
        <f t="shared" si="329"/>
        <v>0</v>
      </c>
      <c r="AA179" s="128">
        <f t="shared" si="329"/>
        <v>0</v>
      </c>
      <c r="AB179" s="128">
        <f t="shared" si="329"/>
        <v>0</v>
      </c>
      <c r="AC179" s="128">
        <f t="shared" si="329"/>
        <v>0</v>
      </c>
      <c r="AD179" s="128">
        <f t="shared" si="329"/>
        <v>0</v>
      </c>
      <c r="AE179" s="128">
        <f t="shared" si="329"/>
        <v>0</v>
      </c>
      <c r="AF179" s="128">
        <f t="shared" ref="AF179" si="330">+SUM(AF180:AF180)</f>
        <v>0</v>
      </c>
      <c r="AG179" s="89">
        <v>23000</v>
      </c>
      <c r="AH179" s="89">
        <f t="shared" ref="AH179:AT179" si="331">+SUM(AH180:AH180)</f>
        <v>0</v>
      </c>
      <c r="AI179" s="89">
        <f t="shared" si="331"/>
        <v>0</v>
      </c>
      <c r="AJ179" s="89">
        <f t="shared" si="331"/>
        <v>0</v>
      </c>
      <c r="AK179" s="89">
        <f t="shared" si="331"/>
        <v>0</v>
      </c>
      <c r="AL179" s="89">
        <f t="shared" si="331"/>
        <v>0</v>
      </c>
      <c r="AM179" s="89">
        <f t="shared" si="331"/>
        <v>0</v>
      </c>
      <c r="AN179" s="89">
        <f t="shared" si="331"/>
        <v>0</v>
      </c>
      <c r="AO179" s="89">
        <f t="shared" si="331"/>
        <v>0</v>
      </c>
      <c r="AP179" s="128">
        <f t="shared" si="331"/>
        <v>0</v>
      </c>
      <c r="AQ179" s="128">
        <f t="shared" si="331"/>
        <v>0</v>
      </c>
      <c r="AR179" s="128">
        <f t="shared" si="331"/>
        <v>0</v>
      </c>
      <c r="AS179" s="128">
        <f t="shared" si="331"/>
        <v>0</v>
      </c>
      <c r="AT179" s="11">
        <f t="shared" si="331"/>
        <v>0</v>
      </c>
    </row>
    <row r="180" spans="1:46" ht="28.5" x14ac:dyDescent="0.35">
      <c r="B180" s="130" t="s">
        <v>426</v>
      </c>
      <c r="C180" s="130"/>
      <c r="D180" s="130"/>
      <c r="E180" s="131"/>
      <c r="F180" s="132"/>
      <c r="G180" s="132"/>
      <c r="H180" s="132">
        <v>0</v>
      </c>
      <c r="I180" s="132"/>
      <c r="J180" s="132">
        <v>0</v>
      </c>
      <c r="K180" s="132">
        <v>0</v>
      </c>
      <c r="L180" s="132">
        <v>0</v>
      </c>
      <c r="M180" s="132"/>
      <c r="N180" s="132"/>
      <c r="O180" s="132">
        <f>SUM(P180:R180)</f>
        <v>0</v>
      </c>
      <c r="P180" s="132"/>
      <c r="Q180" s="132"/>
      <c r="R180" s="132"/>
      <c r="S180" s="134"/>
      <c r="T180" s="132"/>
      <c r="U180" s="132"/>
      <c r="V180" s="132"/>
      <c r="W180" s="132"/>
      <c r="X180" s="132"/>
      <c r="Y180" s="132"/>
      <c r="Z180" s="132">
        <f t="shared" ref="Z180" si="332">SUM(U180:Y180)</f>
        <v>0</v>
      </c>
      <c r="AA180" s="132">
        <f t="shared" ref="AA180" si="333">SUM(T180-Z180)</f>
        <v>0</v>
      </c>
      <c r="AB180" s="132">
        <f>SUM(AC180:AE180)</f>
        <v>0</v>
      </c>
      <c r="AC180" s="132"/>
      <c r="AD180" s="132"/>
      <c r="AE180" s="132"/>
      <c r="AF180" s="134"/>
      <c r="AG180" s="90">
        <v>23000</v>
      </c>
      <c r="AH180" s="90"/>
      <c r="AI180" s="90"/>
      <c r="AJ180" s="90"/>
      <c r="AK180" s="90"/>
      <c r="AL180" s="90"/>
      <c r="AM180" s="90">
        <f t="shared" ref="AM180" si="334">SUM(AH180:AL180)</f>
        <v>0</v>
      </c>
      <c r="AN180" s="90">
        <f t="shared" ref="AN180" si="335">SUM(AI180:AM180)</f>
        <v>0</v>
      </c>
      <c r="AO180" s="90">
        <v>0</v>
      </c>
      <c r="AP180" s="132">
        <f>SUM(AQ180:AS180)</f>
        <v>0</v>
      </c>
      <c r="AQ180" s="132"/>
      <c r="AR180" s="132"/>
      <c r="AS180" s="132"/>
      <c r="AT180" s="47"/>
    </row>
    <row r="181" spans="1:46" ht="28.5" x14ac:dyDescent="0.35">
      <c r="B181" s="161"/>
      <c r="C181" s="161"/>
      <c r="D181" s="161"/>
      <c r="E181" s="136"/>
      <c r="F181" s="125"/>
      <c r="G181" s="125"/>
      <c r="H181" s="125"/>
      <c r="I181" s="125"/>
      <c r="J181" s="125"/>
      <c r="K181" s="125"/>
      <c r="L181" s="125"/>
      <c r="M181" s="125"/>
      <c r="N181" s="125"/>
      <c r="O181" s="125"/>
      <c r="P181" s="125"/>
      <c r="Q181" s="125"/>
      <c r="R181" s="125"/>
      <c r="S181" s="126"/>
      <c r="T181" s="125"/>
      <c r="U181" s="125"/>
      <c r="V181" s="125"/>
      <c r="W181" s="125"/>
      <c r="X181" s="125"/>
      <c r="Y181" s="125"/>
      <c r="Z181" s="125"/>
      <c r="AA181" s="125"/>
      <c r="AB181" s="125"/>
      <c r="AC181" s="125"/>
      <c r="AD181" s="125"/>
      <c r="AE181" s="125"/>
      <c r="AF181" s="126"/>
      <c r="AG181" s="88"/>
      <c r="AH181" s="88"/>
      <c r="AI181" s="88"/>
      <c r="AJ181" s="88"/>
      <c r="AK181" s="88"/>
      <c r="AL181" s="88"/>
      <c r="AM181" s="88"/>
      <c r="AN181" s="88"/>
      <c r="AO181" s="88"/>
      <c r="AP181" s="125"/>
      <c r="AQ181" s="125"/>
      <c r="AR181" s="125"/>
      <c r="AS181" s="125"/>
      <c r="AT181" s="45"/>
    </row>
    <row r="182" spans="1:46" ht="28.5" x14ac:dyDescent="0.65">
      <c r="A182" s="1">
        <v>4.2</v>
      </c>
      <c r="B182" s="170" t="s">
        <v>425</v>
      </c>
      <c r="C182" s="170"/>
      <c r="D182" s="170"/>
      <c r="E182" s="127"/>
      <c r="F182" s="128">
        <f t="shared" ref="F182:S182" si="336">+SUM(F183:F183)</f>
        <v>0</v>
      </c>
      <c r="G182" s="128">
        <f t="shared" si="336"/>
        <v>0</v>
      </c>
      <c r="H182" s="128">
        <f t="shared" si="336"/>
        <v>0</v>
      </c>
      <c r="I182" s="128">
        <f t="shared" si="336"/>
        <v>0</v>
      </c>
      <c r="J182" s="128">
        <f t="shared" si="336"/>
        <v>0</v>
      </c>
      <c r="K182" s="128">
        <f t="shared" si="336"/>
        <v>0</v>
      </c>
      <c r="L182" s="128">
        <f t="shared" si="336"/>
        <v>0</v>
      </c>
      <c r="M182" s="128">
        <f t="shared" si="336"/>
        <v>0</v>
      </c>
      <c r="N182" s="128">
        <f t="shared" si="336"/>
        <v>0</v>
      </c>
      <c r="O182" s="128">
        <f t="shared" si="336"/>
        <v>0</v>
      </c>
      <c r="P182" s="128">
        <f t="shared" si="336"/>
        <v>0</v>
      </c>
      <c r="Q182" s="128">
        <f t="shared" si="336"/>
        <v>0</v>
      </c>
      <c r="R182" s="128">
        <f t="shared" si="336"/>
        <v>0</v>
      </c>
      <c r="S182" s="128">
        <f t="shared" si="336"/>
        <v>0</v>
      </c>
      <c r="T182" s="128">
        <v>26000</v>
      </c>
      <c r="U182" s="128">
        <f t="shared" ref="U182:AE182" si="337">+SUM(U183:U183)</f>
        <v>0</v>
      </c>
      <c r="V182" s="128">
        <f t="shared" si="337"/>
        <v>0</v>
      </c>
      <c r="W182" s="128">
        <f t="shared" si="337"/>
        <v>0</v>
      </c>
      <c r="X182" s="128">
        <f t="shared" si="337"/>
        <v>0</v>
      </c>
      <c r="Y182" s="128">
        <f t="shared" si="337"/>
        <v>0</v>
      </c>
      <c r="Z182" s="128">
        <f t="shared" si="337"/>
        <v>0</v>
      </c>
      <c r="AA182" s="128">
        <f t="shared" si="337"/>
        <v>0</v>
      </c>
      <c r="AB182" s="128">
        <f t="shared" si="337"/>
        <v>0</v>
      </c>
      <c r="AC182" s="128">
        <f t="shared" si="337"/>
        <v>0</v>
      </c>
      <c r="AD182" s="128">
        <f t="shared" si="337"/>
        <v>0</v>
      </c>
      <c r="AE182" s="128">
        <f t="shared" si="337"/>
        <v>0</v>
      </c>
      <c r="AF182" s="128">
        <f t="shared" ref="AF182" si="338">+SUM(AF183:AF183)</f>
        <v>0</v>
      </c>
      <c r="AG182" s="89">
        <v>26000</v>
      </c>
      <c r="AH182" s="89">
        <f t="shared" ref="AH182:AT182" si="339">+SUM(AH183:AH183)</f>
        <v>0</v>
      </c>
      <c r="AI182" s="89">
        <f t="shared" si="339"/>
        <v>0</v>
      </c>
      <c r="AJ182" s="89">
        <f t="shared" si="339"/>
        <v>0</v>
      </c>
      <c r="AK182" s="89">
        <f t="shared" si="339"/>
        <v>0</v>
      </c>
      <c r="AL182" s="89">
        <f t="shared" si="339"/>
        <v>0</v>
      </c>
      <c r="AM182" s="89">
        <f t="shared" si="339"/>
        <v>0</v>
      </c>
      <c r="AN182" s="89">
        <f t="shared" si="339"/>
        <v>0</v>
      </c>
      <c r="AO182" s="89">
        <f t="shared" si="339"/>
        <v>0</v>
      </c>
      <c r="AP182" s="128">
        <f t="shared" si="339"/>
        <v>0</v>
      </c>
      <c r="AQ182" s="128">
        <f t="shared" si="339"/>
        <v>0</v>
      </c>
      <c r="AR182" s="128">
        <f t="shared" si="339"/>
        <v>0</v>
      </c>
      <c r="AS182" s="128">
        <f t="shared" si="339"/>
        <v>0</v>
      </c>
      <c r="AT182" s="11">
        <f t="shared" si="339"/>
        <v>0</v>
      </c>
    </row>
    <row r="183" spans="1:46" ht="28.5" x14ac:dyDescent="0.35">
      <c r="B183" s="130" t="s">
        <v>426</v>
      </c>
      <c r="C183" s="130"/>
      <c r="D183" s="129"/>
      <c r="E183" s="131"/>
      <c r="F183" s="132"/>
      <c r="G183" s="132"/>
      <c r="H183" s="132">
        <v>0</v>
      </c>
      <c r="I183" s="132"/>
      <c r="J183" s="132">
        <v>0</v>
      </c>
      <c r="K183" s="132">
        <v>0</v>
      </c>
      <c r="L183" s="132">
        <v>0</v>
      </c>
      <c r="M183" s="132"/>
      <c r="N183" s="132"/>
      <c r="O183" s="132">
        <f t="shared" ref="O183" si="340">SUM(P183:R183)</f>
        <v>0</v>
      </c>
      <c r="P183" s="132"/>
      <c r="Q183" s="132"/>
      <c r="R183" s="132"/>
      <c r="S183" s="134"/>
      <c r="T183" s="132"/>
      <c r="U183" s="132"/>
      <c r="V183" s="132"/>
      <c r="W183" s="132"/>
      <c r="X183" s="132"/>
      <c r="Y183" s="132"/>
      <c r="Z183" s="132">
        <f t="shared" ref="Z183" si="341">SUM(U183:Y183)</f>
        <v>0</v>
      </c>
      <c r="AA183" s="132">
        <f t="shared" ref="AA183" si="342">SUM(T183-Z183)</f>
        <v>0</v>
      </c>
      <c r="AB183" s="132">
        <f t="shared" ref="AB183" si="343">SUM(AC183:AE183)</f>
        <v>0</v>
      </c>
      <c r="AC183" s="132"/>
      <c r="AD183" s="132"/>
      <c r="AE183" s="132"/>
      <c r="AF183" s="134"/>
      <c r="AG183" s="90">
        <v>26000</v>
      </c>
      <c r="AH183" s="90"/>
      <c r="AI183" s="90"/>
      <c r="AJ183" s="90"/>
      <c r="AK183" s="90"/>
      <c r="AL183" s="90"/>
      <c r="AM183" s="90">
        <f t="shared" ref="AM183" si="344">SUM(AH183:AL183)</f>
        <v>0</v>
      </c>
      <c r="AN183" s="90">
        <f t="shared" ref="AN183" si="345">SUM(AI183:AM183)</f>
        <v>0</v>
      </c>
      <c r="AO183" s="90">
        <v>0</v>
      </c>
      <c r="AP183" s="132">
        <f t="shared" ref="AP183" si="346">SUM(AQ183:AS183)</f>
        <v>0</v>
      </c>
      <c r="AQ183" s="132"/>
      <c r="AR183" s="132"/>
      <c r="AS183" s="132"/>
      <c r="AT183" s="47"/>
    </row>
    <row r="184" spans="1:46" ht="28.5" x14ac:dyDescent="0.35">
      <c r="B184" s="161"/>
      <c r="C184" s="161"/>
      <c r="D184" s="161"/>
      <c r="E184" s="136"/>
      <c r="F184" s="125"/>
      <c r="G184" s="125"/>
      <c r="H184" s="125"/>
      <c r="I184" s="125"/>
      <c r="J184" s="125"/>
      <c r="K184" s="125"/>
      <c r="L184" s="125"/>
      <c r="M184" s="125"/>
      <c r="N184" s="125"/>
      <c r="O184" s="125"/>
      <c r="P184" s="125"/>
      <c r="Q184" s="125"/>
      <c r="R184" s="125"/>
      <c r="S184" s="126"/>
      <c r="T184" s="125"/>
      <c r="U184" s="125"/>
      <c r="V184" s="125"/>
      <c r="W184" s="125"/>
      <c r="X184" s="125"/>
      <c r="Y184" s="125"/>
      <c r="Z184" s="125"/>
      <c r="AA184" s="125"/>
      <c r="AB184" s="125"/>
      <c r="AC184" s="125"/>
      <c r="AD184" s="125"/>
      <c r="AE184" s="125"/>
      <c r="AF184" s="126"/>
      <c r="AG184" s="88"/>
      <c r="AH184" s="88"/>
      <c r="AI184" s="88"/>
      <c r="AJ184" s="88"/>
      <c r="AK184" s="88"/>
      <c r="AL184" s="88"/>
      <c r="AM184" s="88"/>
      <c r="AN184" s="88"/>
      <c r="AO184" s="88"/>
      <c r="AP184" s="125"/>
      <c r="AQ184" s="125"/>
      <c r="AR184" s="125"/>
      <c r="AS184" s="125"/>
      <c r="AT184" s="45"/>
    </row>
    <row r="185" spans="1:46" ht="28.5" x14ac:dyDescent="0.65">
      <c r="A185" s="1">
        <v>4.3</v>
      </c>
      <c r="B185" s="170" t="s">
        <v>425</v>
      </c>
      <c r="C185" s="170"/>
      <c r="D185" s="170"/>
      <c r="E185" s="127"/>
      <c r="F185" s="128">
        <f t="shared" ref="F185:S185" si="347">+SUM(F186:F186)</f>
        <v>0</v>
      </c>
      <c r="G185" s="128">
        <f t="shared" si="347"/>
        <v>0</v>
      </c>
      <c r="H185" s="128">
        <f t="shared" si="347"/>
        <v>0</v>
      </c>
      <c r="I185" s="128">
        <f t="shared" si="347"/>
        <v>0</v>
      </c>
      <c r="J185" s="128">
        <f t="shared" si="347"/>
        <v>0</v>
      </c>
      <c r="K185" s="128">
        <f t="shared" si="347"/>
        <v>0</v>
      </c>
      <c r="L185" s="128">
        <f t="shared" si="347"/>
        <v>0</v>
      </c>
      <c r="M185" s="128">
        <f t="shared" si="347"/>
        <v>0</v>
      </c>
      <c r="N185" s="128">
        <f t="shared" si="347"/>
        <v>0</v>
      </c>
      <c r="O185" s="128">
        <f t="shared" si="347"/>
        <v>0</v>
      </c>
      <c r="P185" s="128">
        <f t="shared" si="347"/>
        <v>0</v>
      </c>
      <c r="Q185" s="128">
        <f t="shared" si="347"/>
        <v>0</v>
      </c>
      <c r="R185" s="128">
        <f t="shared" si="347"/>
        <v>0</v>
      </c>
      <c r="S185" s="128">
        <f t="shared" si="347"/>
        <v>0</v>
      </c>
      <c r="T185" s="128">
        <v>34000</v>
      </c>
      <c r="U185" s="128">
        <f t="shared" ref="U185:AE185" si="348">+SUM(U186:U186)</f>
        <v>0</v>
      </c>
      <c r="V185" s="128">
        <f t="shared" si="348"/>
        <v>0</v>
      </c>
      <c r="W185" s="128">
        <f t="shared" si="348"/>
        <v>0</v>
      </c>
      <c r="X185" s="128">
        <f t="shared" si="348"/>
        <v>0</v>
      </c>
      <c r="Y185" s="128">
        <f t="shared" si="348"/>
        <v>0</v>
      </c>
      <c r="Z185" s="128">
        <f t="shared" si="348"/>
        <v>0</v>
      </c>
      <c r="AA185" s="128">
        <f t="shared" si="348"/>
        <v>0</v>
      </c>
      <c r="AB185" s="128">
        <f t="shared" si="348"/>
        <v>0</v>
      </c>
      <c r="AC185" s="128">
        <f t="shared" si="348"/>
        <v>0</v>
      </c>
      <c r="AD185" s="128">
        <f t="shared" si="348"/>
        <v>0</v>
      </c>
      <c r="AE185" s="128">
        <f t="shared" si="348"/>
        <v>0</v>
      </c>
      <c r="AF185" s="128">
        <f t="shared" ref="AF185" si="349">+SUM(AF186:AF186)</f>
        <v>0</v>
      </c>
      <c r="AG185" s="89">
        <v>34000</v>
      </c>
      <c r="AH185" s="89">
        <f t="shared" ref="AH185:AT185" si="350">+SUM(AH186:AH186)</f>
        <v>0</v>
      </c>
      <c r="AI185" s="89">
        <f t="shared" si="350"/>
        <v>0</v>
      </c>
      <c r="AJ185" s="89">
        <f t="shared" si="350"/>
        <v>0</v>
      </c>
      <c r="AK185" s="89">
        <f t="shared" si="350"/>
        <v>0</v>
      </c>
      <c r="AL185" s="89">
        <f t="shared" si="350"/>
        <v>0</v>
      </c>
      <c r="AM185" s="89">
        <f t="shared" si="350"/>
        <v>0</v>
      </c>
      <c r="AN185" s="89">
        <f t="shared" si="350"/>
        <v>0</v>
      </c>
      <c r="AO185" s="89">
        <f t="shared" si="350"/>
        <v>0</v>
      </c>
      <c r="AP185" s="128">
        <f t="shared" si="350"/>
        <v>0</v>
      </c>
      <c r="AQ185" s="128">
        <f t="shared" si="350"/>
        <v>0</v>
      </c>
      <c r="AR185" s="128">
        <f t="shared" si="350"/>
        <v>0</v>
      </c>
      <c r="AS185" s="128">
        <f t="shared" si="350"/>
        <v>0</v>
      </c>
      <c r="AT185" s="11">
        <f t="shared" si="350"/>
        <v>0</v>
      </c>
    </row>
    <row r="186" spans="1:46" ht="28.5" x14ac:dyDescent="0.35">
      <c r="B186" s="130" t="s">
        <v>426</v>
      </c>
      <c r="C186" s="130"/>
      <c r="D186" s="129"/>
      <c r="E186" s="131"/>
      <c r="F186" s="132"/>
      <c r="G186" s="132"/>
      <c r="H186" s="132">
        <v>0</v>
      </c>
      <c r="I186" s="132"/>
      <c r="J186" s="132">
        <v>0</v>
      </c>
      <c r="K186" s="132">
        <v>0</v>
      </c>
      <c r="L186" s="132">
        <v>0</v>
      </c>
      <c r="M186" s="132"/>
      <c r="N186" s="132"/>
      <c r="O186" s="132">
        <f t="shared" ref="O186" si="351">SUM(P186:R186)</f>
        <v>0</v>
      </c>
      <c r="P186" s="132"/>
      <c r="Q186" s="132"/>
      <c r="R186" s="132"/>
      <c r="S186" s="134"/>
      <c r="T186" s="132"/>
      <c r="U186" s="132"/>
      <c r="V186" s="132"/>
      <c r="W186" s="132"/>
      <c r="X186" s="132"/>
      <c r="Y186" s="132"/>
      <c r="Z186" s="132">
        <f t="shared" ref="Z186" si="352">SUM(U186:Y186)</f>
        <v>0</v>
      </c>
      <c r="AA186" s="132">
        <f t="shared" ref="AA186" si="353">SUM(T186-Z186)</f>
        <v>0</v>
      </c>
      <c r="AB186" s="132">
        <f t="shared" ref="AB186" si="354">SUM(AC186:AE186)</f>
        <v>0</v>
      </c>
      <c r="AC186" s="132"/>
      <c r="AD186" s="132"/>
      <c r="AE186" s="132"/>
      <c r="AF186" s="134"/>
      <c r="AG186" s="90">
        <v>34000</v>
      </c>
      <c r="AH186" s="90"/>
      <c r="AI186" s="90"/>
      <c r="AJ186" s="90"/>
      <c r="AK186" s="90"/>
      <c r="AL186" s="90"/>
      <c r="AM186" s="90">
        <f t="shared" ref="AM186" si="355">SUM(AH186:AL186)</f>
        <v>0</v>
      </c>
      <c r="AN186" s="90">
        <f t="shared" ref="AN186" si="356">SUM(AI186:AM186)</f>
        <v>0</v>
      </c>
      <c r="AO186" s="90">
        <v>0</v>
      </c>
      <c r="AP186" s="132">
        <f t="shared" ref="AP186" si="357">SUM(AQ186:AS186)</f>
        <v>0</v>
      </c>
      <c r="AQ186" s="132"/>
      <c r="AR186" s="132"/>
      <c r="AS186" s="132"/>
      <c r="AT186" s="47"/>
    </row>
    <row r="187" spans="1:46" ht="28.5" x14ac:dyDescent="0.35">
      <c r="B187" s="161"/>
      <c r="C187" s="161"/>
      <c r="D187" s="161"/>
      <c r="E187" s="136"/>
      <c r="F187" s="125"/>
      <c r="G187" s="125"/>
      <c r="H187" s="125"/>
      <c r="I187" s="125"/>
      <c r="J187" s="125"/>
      <c r="K187" s="125"/>
      <c r="L187" s="125"/>
      <c r="M187" s="125"/>
      <c r="N187" s="125"/>
      <c r="O187" s="125"/>
      <c r="P187" s="125"/>
      <c r="Q187" s="125"/>
      <c r="R187" s="125"/>
      <c r="S187" s="126"/>
      <c r="T187" s="125"/>
      <c r="U187" s="125"/>
      <c r="V187" s="125"/>
      <c r="W187" s="125"/>
      <c r="X187" s="125"/>
      <c r="Y187" s="125"/>
      <c r="Z187" s="125"/>
      <c r="AA187" s="125"/>
      <c r="AB187" s="125"/>
      <c r="AC187" s="125"/>
      <c r="AD187" s="125"/>
      <c r="AE187" s="125"/>
      <c r="AF187" s="126"/>
      <c r="AG187" s="88"/>
      <c r="AH187" s="88"/>
      <c r="AI187" s="88"/>
      <c r="AJ187" s="88"/>
      <c r="AK187" s="88"/>
      <c r="AL187" s="88"/>
      <c r="AM187" s="88"/>
      <c r="AN187" s="88"/>
      <c r="AO187" s="88"/>
      <c r="AP187" s="125"/>
      <c r="AQ187" s="125"/>
      <c r="AR187" s="125"/>
      <c r="AS187" s="125"/>
      <c r="AT187" s="45"/>
    </row>
    <row r="188" spans="1:46" ht="28.5" x14ac:dyDescent="0.65">
      <c r="B188" s="170" t="s">
        <v>425</v>
      </c>
      <c r="C188" s="170"/>
      <c r="D188" s="170"/>
      <c r="E188" s="127"/>
      <c r="F188" s="128">
        <f>+SUM(F189:F192)</f>
        <v>0</v>
      </c>
      <c r="G188" s="128">
        <f t="shared" ref="G188" si="358">+SUM(G189:G192)</f>
        <v>0</v>
      </c>
      <c r="H188" s="128">
        <f>+SUM(H189:H192)</f>
        <v>0</v>
      </c>
      <c r="I188" s="128">
        <f t="shared" ref="I188:K188" si="359">+SUM(I189:I192)</f>
        <v>0</v>
      </c>
      <c r="J188" s="128">
        <f t="shared" si="359"/>
        <v>0</v>
      </c>
      <c r="K188" s="128">
        <f t="shared" si="359"/>
        <v>0</v>
      </c>
      <c r="L188" s="128">
        <f t="shared" ref="L188" si="360">+SUM(L189:L192)</f>
        <v>0</v>
      </c>
      <c r="M188" s="128">
        <f t="shared" ref="M188:P188" si="361">+SUM(M189:M192)</f>
        <v>0</v>
      </c>
      <c r="N188" s="128">
        <f t="shared" si="361"/>
        <v>0</v>
      </c>
      <c r="O188" s="128">
        <f t="shared" si="361"/>
        <v>0</v>
      </c>
      <c r="P188" s="128">
        <f t="shared" si="361"/>
        <v>0</v>
      </c>
      <c r="Q188" s="128">
        <f t="shared" ref="Q188" si="362">+SUM(Q189:Q192)</f>
        <v>0</v>
      </c>
      <c r="R188" s="128">
        <f t="shared" ref="R188:Y188" si="363">+SUM(R189:R192)</f>
        <v>0</v>
      </c>
      <c r="S188" s="128">
        <f t="shared" si="363"/>
        <v>0</v>
      </c>
      <c r="T188" s="128">
        <f t="shared" si="363"/>
        <v>0</v>
      </c>
      <c r="U188" s="128">
        <f t="shared" si="363"/>
        <v>0</v>
      </c>
      <c r="V188" s="128">
        <f t="shared" si="363"/>
        <v>0</v>
      </c>
      <c r="W188" s="128">
        <f t="shared" si="363"/>
        <v>0</v>
      </c>
      <c r="X188" s="128">
        <f t="shared" si="363"/>
        <v>0</v>
      </c>
      <c r="Y188" s="128">
        <f t="shared" si="363"/>
        <v>0</v>
      </c>
      <c r="Z188" s="128">
        <f>+SUM(Z189:Z192)</f>
        <v>0</v>
      </c>
      <c r="AA188" s="128">
        <f>+SUM(AA189:AA192)</f>
        <v>0</v>
      </c>
      <c r="AB188" s="128">
        <f t="shared" ref="AB188:AE188" si="364">+SUM(AB189:AB192)</f>
        <v>0</v>
      </c>
      <c r="AC188" s="128">
        <f t="shared" si="364"/>
        <v>0</v>
      </c>
      <c r="AD188" s="128">
        <f t="shared" si="364"/>
        <v>0</v>
      </c>
      <c r="AE188" s="128">
        <f t="shared" si="364"/>
        <v>0</v>
      </c>
      <c r="AF188" s="128">
        <f t="shared" ref="AF188:AL188" si="365">+SUM(AF189:AF192)</f>
        <v>0</v>
      </c>
      <c r="AG188" s="89">
        <f t="shared" si="365"/>
        <v>0</v>
      </c>
      <c r="AH188" s="89">
        <f t="shared" si="365"/>
        <v>0</v>
      </c>
      <c r="AI188" s="89">
        <f t="shared" si="365"/>
        <v>0</v>
      </c>
      <c r="AJ188" s="89">
        <f t="shared" si="365"/>
        <v>0</v>
      </c>
      <c r="AK188" s="89">
        <f t="shared" si="365"/>
        <v>0</v>
      </c>
      <c r="AL188" s="89">
        <f t="shared" si="365"/>
        <v>0</v>
      </c>
      <c r="AM188" s="89">
        <f>+SUM(AM189:AM192)</f>
        <v>0</v>
      </c>
      <c r="AN188" s="89">
        <f>+SUM(AN189:AN192)</f>
        <v>0</v>
      </c>
      <c r="AO188" s="89">
        <f>+SUM(AO189:AO192)</f>
        <v>0</v>
      </c>
      <c r="AP188" s="128">
        <f t="shared" ref="AP188:AT188" si="366">+SUM(AP189:AP192)</f>
        <v>0</v>
      </c>
      <c r="AQ188" s="128">
        <f t="shared" si="366"/>
        <v>0</v>
      </c>
      <c r="AR188" s="128">
        <f t="shared" si="366"/>
        <v>0</v>
      </c>
      <c r="AS188" s="128">
        <f t="shared" si="366"/>
        <v>0</v>
      </c>
      <c r="AT188" s="11">
        <f t="shared" si="366"/>
        <v>0</v>
      </c>
    </row>
    <row r="189" spans="1:46" ht="28.5" x14ac:dyDescent="0.35">
      <c r="B189" s="130" t="s">
        <v>426</v>
      </c>
      <c r="C189" s="130"/>
      <c r="D189" s="130"/>
      <c r="E189" s="131"/>
      <c r="F189" s="132"/>
      <c r="G189" s="132"/>
      <c r="H189" s="132">
        <f t="shared" ref="H189:H192" si="367">SUM(I189:N189)</f>
        <v>0</v>
      </c>
      <c r="I189" s="132"/>
      <c r="J189" s="132">
        <v>0</v>
      </c>
      <c r="K189" s="132">
        <v>0</v>
      </c>
      <c r="L189" s="132">
        <v>0</v>
      </c>
      <c r="M189" s="132"/>
      <c r="N189" s="132"/>
      <c r="O189" s="132">
        <f t="shared" ref="O189:O192" si="368">SUM(P189:R189)</f>
        <v>0</v>
      </c>
      <c r="P189" s="132"/>
      <c r="Q189" s="132"/>
      <c r="R189" s="132"/>
      <c r="S189" s="134"/>
      <c r="T189" s="132"/>
      <c r="U189" s="132"/>
      <c r="V189" s="132"/>
      <c r="W189" s="132"/>
      <c r="X189" s="132"/>
      <c r="Y189" s="132"/>
      <c r="Z189" s="132">
        <f t="shared" ref="Z189:Z192" si="369">SUM(U189:Y189)</f>
        <v>0</v>
      </c>
      <c r="AA189" s="132">
        <f t="shared" ref="AA189:AA192" si="370">SUM(T189-Z189)</f>
        <v>0</v>
      </c>
      <c r="AB189" s="132">
        <f t="shared" ref="AB189:AB192" si="371">SUM(AC189:AE189)</f>
        <v>0</v>
      </c>
      <c r="AC189" s="132"/>
      <c r="AD189" s="132"/>
      <c r="AE189" s="132"/>
      <c r="AF189" s="134"/>
      <c r="AG189" s="90"/>
      <c r="AH189" s="90"/>
      <c r="AI189" s="90"/>
      <c r="AJ189" s="90"/>
      <c r="AK189" s="90"/>
      <c r="AL189" s="90"/>
      <c r="AM189" s="90">
        <f t="shared" ref="AM189:AM192" si="372">SUM(AH189:AL189)</f>
        <v>0</v>
      </c>
      <c r="AN189" s="90">
        <f t="shared" ref="AN189:AN192" si="373">SUM(AI189:AM189)</f>
        <v>0</v>
      </c>
      <c r="AO189" s="90">
        <f>SUM(AG189-AM189)</f>
        <v>0</v>
      </c>
      <c r="AP189" s="132">
        <f t="shared" ref="AP189:AP192" si="374">SUM(AQ189:AS189)</f>
        <v>0</v>
      </c>
      <c r="AQ189" s="132"/>
      <c r="AR189" s="132"/>
      <c r="AS189" s="132"/>
      <c r="AT189" s="47"/>
    </row>
    <row r="190" spans="1:46" ht="28.5" x14ac:dyDescent="0.35">
      <c r="B190" s="130"/>
      <c r="C190" s="130"/>
      <c r="D190" s="130"/>
      <c r="E190" s="131"/>
      <c r="F190" s="132"/>
      <c r="G190" s="132"/>
      <c r="H190" s="132">
        <f t="shared" si="367"/>
        <v>0</v>
      </c>
      <c r="I190" s="132"/>
      <c r="J190" s="132">
        <v>0</v>
      </c>
      <c r="K190" s="132">
        <v>0</v>
      </c>
      <c r="L190" s="132">
        <v>0</v>
      </c>
      <c r="M190" s="132"/>
      <c r="N190" s="132"/>
      <c r="O190" s="132">
        <f t="shared" si="368"/>
        <v>0</v>
      </c>
      <c r="P190" s="132"/>
      <c r="Q190" s="132"/>
      <c r="R190" s="132"/>
      <c r="S190" s="134"/>
      <c r="T190" s="132"/>
      <c r="U190" s="132"/>
      <c r="V190" s="132"/>
      <c r="W190" s="132"/>
      <c r="X190" s="132"/>
      <c r="Y190" s="132"/>
      <c r="Z190" s="132">
        <f t="shared" si="369"/>
        <v>0</v>
      </c>
      <c r="AA190" s="132">
        <f t="shared" si="370"/>
        <v>0</v>
      </c>
      <c r="AB190" s="132">
        <f t="shared" si="371"/>
        <v>0</v>
      </c>
      <c r="AC190" s="132"/>
      <c r="AD190" s="132"/>
      <c r="AE190" s="132"/>
      <c r="AF190" s="134"/>
      <c r="AG190" s="90"/>
      <c r="AH190" s="90"/>
      <c r="AI190" s="90"/>
      <c r="AJ190" s="90"/>
      <c r="AK190" s="90"/>
      <c r="AL190" s="90"/>
      <c r="AM190" s="90">
        <f t="shared" si="372"/>
        <v>0</v>
      </c>
      <c r="AN190" s="90">
        <f t="shared" si="373"/>
        <v>0</v>
      </c>
      <c r="AO190" s="90">
        <f>SUM(AG190-AM190)</f>
        <v>0</v>
      </c>
      <c r="AP190" s="132">
        <f t="shared" si="374"/>
        <v>0</v>
      </c>
      <c r="AQ190" s="132"/>
      <c r="AR190" s="132"/>
      <c r="AS190" s="132"/>
      <c r="AT190" s="47"/>
    </row>
    <row r="191" spans="1:46" ht="28.5" x14ac:dyDescent="0.35">
      <c r="B191" s="130"/>
      <c r="C191" s="130"/>
      <c r="D191" s="130"/>
      <c r="E191" s="131"/>
      <c r="F191" s="132"/>
      <c r="G191" s="132"/>
      <c r="H191" s="132">
        <f t="shared" si="367"/>
        <v>0</v>
      </c>
      <c r="I191" s="132"/>
      <c r="J191" s="132">
        <v>0</v>
      </c>
      <c r="K191" s="132">
        <v>0</v>
      </c>
      <c r="L191" s="132">
        <v>0</v>
      </c>
      <c r="M191" s="132"/>
      <c r="N191" s="132"/>
      <c r="O191" s="132">
        <f t="shared" si="368"/>
        <v>0</v>
      </c>
      <c r="P191" s="132"/>
      <c r="Q191" s="132"/>
      <c r="R191" s="132"/>
      <c r="S191" s="134"/>
      <c r="T191" s="132"/>
      <c r="U191" s="132"/>
      <c r="V191" s="132"/>
      <c r="W191" s="132"/>
      <c r="X191" s="132"/>
      <c r="Y191" s="132"/>
      <c r="Z191" s="132">
        <f t="shared" si="369"/>
        <v>0</v>
      </c>
      <c r="AA191" s="132">
        <f t="shared" si="370"/>
        <v>0</v>
      </c>
      <c r="AB191" s="132">
        <f t="shared" si="371"/>
        <v>0</v>
      </c>
      <c r="AC191" s="132"/>
      <c r="AD191" s="132"/>
      <c r="AE191" s="132"/>
      <c r="AF191" s="134"/>
      <c r="AG191" s="90"/>
      <c r="AH191" s="90"/>
      <c r="AI191" s="90"/>
      <c r="AJ191" s="90"/>
      <c r="AK191" s="90"/>
      <c r="AL191" s="90"/>
      <c r="AM191" s="90">
        <f t="shared" si="372"/>
        <v>0</v>
      </c>
      <c r="AN191" s="90">
        <f t="shared" si="373"/>
        <v>0</v>
      </c>
      <c r="AO191" s="90">
        <f>SUM(AG191-AM191)</f>
        <v>0</v>
      </c>
      <c r="AP191" s="132">
        <f t="shared" si="374"/>
        <v>0</v>
      </c>
      <c r="AQ191" s="132"/>
      <c r="AR191" s="132"/>
      <c r="AS191" s="132"/>
      <c r="AT191" s="47"/>
    </row>
    <row r="192" spans="1:46" ht="28.5" x14ac:dyDescent="0.35">
      <c r="B192" s="130"/>
      <c r="C192" s="130"/>
      <c r="D192" s="130"/>
      <c r="E192" s="131"/>
      <c r="F192" s="132"/>
      <c r="G192" s="132"/>
      <c r="H192" s="132">
        <f t="shared" si="367"/>
        <v>0</v>
      </c>
      <c r="I192" s="132"/>
      <c r="J192" s="132">
        <v>0</v>
      </c>
      <c r="K192" s="132">
        <v>0</v>
      </c>
      <c r="L192" s="132">
        <v>0</v>
      </c>
      <c r="M192" s="132"/>
      <c r="N192" s="132"/>
      <c r="O192" s="132">
        <f t="shared" si="368"/>
        <v>0</v>
      </c>
      <c r="P192" s="132"/>
      <c r="Q192" s="132"/>
      <c r="R192" s="132"/>
      <c r="S192" s="134"/>
      <c r="T192" s="132"/>
      <c r="U192" s="132"/>
      <c r="V192" s="132"/>
      <c r="W192" s="132"/>
      <c r="X192" s="132"/>
      <c r="Y192" s="132"/>
      <c r="Z192" s="132">
        <f t="shared" si="369"/>
        <v>0</v>
      </c>
      <c r="AA192" s="132">
        <f t="shared" si="370"/>
        <v>0</v>
      </c>
      <c r="AB192" s="132">
        <f t="shared" si="371"/>
        <v>0</v>
      </c>
      <c r="AC192" s="132"/>
      <c r="AD192" s="132"/>
      <c r="AE192" s="132"/>
      <c r="AF192" s="134"/>
      <c r="AG192" s="90"/>
      <c r="AH192" s="90"/>
      <c r="AI192" s="90"/>
      <c r="AJ192" s="90"/>
      <c r="AK192" s="90"/>
      <c r="AL192" s="90"/>
      <c r="AM192" s="90">
        <f t="shared" si="372"/>
        <v>0</v>
      </c>
      <c r="AN192" s="90">
        <f t="shared" si="373"/>
        <v>0</v>
      </c>
      <c r="AO192" s="90">
        <f>SUM(AG192-AM192)</f>
        <v>0</v>
      </c>
      <c r="AP192" s="132">
        <f t="shared" si="374"/>
        <v>0</v>
      </c>
      <c r="AQ192" s="132"/>
      <c r="AR192" s="132"/>
      <c r="AS192" s="132"/>
      <c r="AT192" s="47"/>
    </row>
    <row r="193" spans="1:61" s="7" customFormat="1" x14ac:dyDescent="0.35">
      <c r="A193" s="1"/>
      <c r="B193" s="29"/>
      <c r="C193" s="29"/>
      <c r="D193" s="29"/>
      <c r="E193" s="39"/>
      <c r="AG193" s="74"/>
      <c r="AH193" s="74"/>
      <c r="AI193" s="74"/>
      <c r="AJ193" s="74"/>
      <c r="AK193" s="74"/>
      <c r="AL193" s="74"/>
      <c r="AM193" s="74"/>
      <c r="AN193" s="74"/>
      <c r="AO193" s="74"/>
      <c r="AU193" s="1"/>
      <c r="AV193" s="1"/>
      <c r="AW193" s="1"/>
      <c r="AX193" s="1"/>
      <c r="AY193" s="1"/>
      <c r="AZ193" s="1"/>
      <c r="BA193" s="1"/>
      <c r="BB193" s="1"/>
      <c r="BC193" s="1"/>
      <c r="BD193" s="1"/>
      <c r="BE193" s="1"/>
      <c r="BF193" s="1"/>
      <c r="BG193" s="1"/>
      <c r="BH193" s="1"/>
      <c r="BI193" s="1"/>
    </row>
    <row r="194" spans="1:61" s="7" customFormat="1" x14ac:dyDescent="0.35">
      <c r="A194" s="1"/>
      <c r="B194" s="29"/>
      <c r="C194" s="29"/>
      <c r="D194" s="29"/>
      <c r="E194" s="39"/>
      <c r="F194" s="40"/>
      <c r="G194" s="40"/>
      <c r="H194" s="40"/>
      <c r="T194" s="40"/>
      <c r="Z194" s="40"/>
      <c r="AA194" s="40"/>
      <c r="AG194" s="74"/>
      <c r="AH194" s="74"/>
      <c r="AI194" s="74"/>
      <c r="AJ194" s="74"/>
      <c r="AK194" s="74"/>
      <c r="AL194" s="74"/>
      <c r="AM194" s="74"/>
      <c r="AN194" s="74"/>
      <c r="AO194" s="74"/>
      <c r="AU194" s="1"/>
      <c r="AV194" s="1"/>
      <c r="AW194" s="1"/>
      <c r="AX194" s="1"/>
      <c r="AY194" s="1"/>
      <c r="AZ194" s="1"/>
      <c r="BA194" s="1"/>
      <c r="BB194" s="1"/>
      <c r="BC194" s="1"/>
      <c r="BD194" s="1"/>
      <c r="BE194" s="1"/>
      <c r="BF194" s="1"/>
      <c r="BG194" s="1"/>
      <c r="BH194" s="1"/>
      <c r="BI194" s="1"/>
    </row>
    <row r="195" spans="1:61" s="7" customFormat="1" x14ac:dyDescent="0.35">
      <c r="A195" s="1"/>
      <c r="B195" s="29"/>
      <c r="C195" s="29"/>
      <c r="D195" s="29"/>
      <c r="E195" s="39"/>
      <c r="AG195" s="74"/>
      <c r="AH195" s="74"/>
      <c r="AI195" s="74"/>
      <c r="AJ195" s="74"/>
      <c r="AK195" s="74"/>
      <c r="AL195" s="74"/>
      <c r="AM195" s="74"/>
      <c r="AN195" s="74"/>
      <c r="AO195" s="74"/>
      <c r="AU195" s="1"/>
      <c r="AV195" s="1"/>
      <c r="AW195" s="1"/>
      <c r="AX195" s="1"/>
      <c r="AY195" s="1"/>
      <c r="AZ195" s="1"/>
      <c r="BA195" s="1"/>
      <c r="BB195" s="1"/>
      <c r="BC195" s="1"/>
      <c r="BD195" s="1"/>
      <c r="BE195" s="1"/>
      <c r="BF195" s="1"/>
      <c r="BG195" s="1"/>
      <c r="BH195" s="1"/>
      <c r="BI195" s="1"/>
    </row>
    <row r="196" spans="1:61" s="7" customFormat="1" x14ac:dyDescent="0.35">
      <c r="A196" s="1"/>
      <c r="B196" s="29"/>
      <c r="C196" s="29"/>
      <c r="D196" s="29"/>
      <c r="E196" s="39"/>
      <c r="F196" s="40"/>
      <c r="G196" s="40"/>
      <c r="H196" s="40"/>
      <c r="T196" s="40"/>
      <c r="Z196" s="40"/>
      <c r="AA196" s="40"/>
      <c r="AG196" s="74"/>
      <c r="AH196" s="74"/>
      <c r="AI196" s="74"/>
      <c r="AJ196" s="74"/>
      <c r="AK196" s="74"/>
      <c r="AL196" s="74"/>
      <c r="AM196" s="74"/>
      <c r="AN196" s="74"/>
      <c r="AO196" s="74"/>
      <c r="AU196" s="1"/>
      <c r="AV196" s="1"/>
      <c r="AW196" s="1"/>
      <c r="AX196" s="1"/>
      <c r="AY196" s="1"/>
      <c r="AZ196" s="1"/>
      <c r="BA196" s="1"/>
      <c r="BB196" s="1"/>
      <c r="BC196" s="1"/>
      <c r="BD196" s="1"/>
      <c r="BE196" s="1"/>
      <c r="BF196" s="1"/>
      <c r="BG196" s="1"/>
      <c r="BH196" s="1"/>
      <c r="BI196" s="1"/>
    </row>
    <row r="197" spans="1:61" s="7" customFormat="1" x14ac:dyDescent="0.35">
      <c r="A197" s="1"/>
      <c r="B197" s="29"/>
      <c r="C197" s="29"/>
      <c r="D197" s="29"/>
      <c r="E197" s="39"/>
      <c r="AG197" s="74"/>
      <c r="AH197" s="74"/>
      <c r="AI197" s="74"/>
      <c r="AJ197" s="74"/>
      <c r="AK197" s="74"/>
      <c r="AL197" s="74"/>
      <c r="AM197" s="74"/>
      <c r="AN197" s="74"/>
      <c r="AO197" s="74"/>
      <c r="AU197" s="1"/>
      <c r="AV197" s="1"/>
      <c r="AW197" s="1"/>
      <c r="AX197" s="1"/>
      <c r="AY197" s="1"/>
      <c r="AZ197" s="1"/>
      <c r="BA197" s="1"/>
      <c r="BB197" s="1"/>
      <c r="BC197" s="1"/>
      <c r="BD197" s="1"/>
      <c r="BE197" s="1"/>
      <c r="BF197" s="1"/>
      <c r="BG197" s="1"/>
      <c r="BH197" s="1"/>
      <c r="BI197" s="1"/>
    </row>
    <row r="198" spans="1:61" s="7" customFormat="1" x14ac:dyDescent="0.35">
      <c r="A198" s="1"/>
      <c r="B198" s="29"/>
      <c r="C198" s="29"/>
      <c r="D198" s="29"/>
      <c r="E198" s="39"/>
      <c r="AG198" s="74"/>
      <c r="AH198" s="74"/>
      <c r="AI198" s="74"/>
      <c r="AJ198" s="74"/>
      <c r="AK198" s="74"/>
      <c r="AL198" s="74"/>
      <c r="AM198" s="74"/>
      <c r="AN198" s="74"/>
      <c r="AO198" s="74"/>
      <c r="AU198" s="1"/>
      <c r="AV198" s="1"/>
      <c r="AW198" s="1"/>
      <c r="AX198" s="1"/>
      <c r="AY198" s="1"/>
      <c r="AZ198" s="1"/>
      <c r="BA198" s="1"/>
      <c r="BB198" s="1"/>
      <c r="BC198" s="1"/>
      <c r="BD198" s="1"/>
      <c r="BE198" s="1"/>
      <c r="BF198" s="1"/>
      <c r="BG198" s="1"/>
      <c r="BH198" s="1"/>
      <c r="BI198" s="1"/>
    </row>
  </sheetData>
  <mergeCells count="38">
    <mergeCell ref="O2:R2"/>
    <mergeCell ref="AB2:AE2"/>
    <mergeCell ref="AP2:AS2"/>
    <mergeCell ref="H1:N1"/>
    <mergeCell ref="T1:AE1"/>
    <mergeCell ref="AG1:AS1"/>
    <mergeCell ref="C27:D27"/>
    <mergeCell ref="C8:D8"/>
    <mergeCell ref="C9:D9"/>
    <mergeCell ref="C13:D13"/>
    <mergeCell ref="C33:D33"/>
    <mergeCell ref="C36:D36"/>
    <mergeCell ref="C41:D41"/>
    <mergeCell ref="C46:D46"/>
    <mergeCell ref="C59:D59"/>
    <mergeCell ref="C64:D64"/>
    <mergeCell ref="C72:D72"/>
    <mergeCell ref="C77:D77"/>
    <mergeCell ref="C82:D82"/>
    <mergeCell ref="C86:D86"/>
    <mergeCell ref="C91:D91"/>
    <mergeCell ref="C94:D94"/>
    <mergeCell ref="C98:D98"/>
    <mergeCell ref="C110:D110"/>
    <mergeCell ref="C115:D115"/>
    <mergeCell ref="C119:D119"/>
    <mergeCell ref="C122:D122"/>
    <mergeCell ref="C125:D125"/>
    <mergeCell ref="C131:D131"/>
    <mergeCell ref="C134:D134"/>
    <mergeCell ref="C167:D167"/>
    <mergeCell ref="C170:D170"/>
    <mergeCell ref="C173:D173"/>
    <mergeCell ref="C141:D141"/>
    <mergeCell ref="C148:D148"/>
    <mergeCell ref="C144:D144"/>
    <mergeCell ref="C154:D154"/>
    <mergeCell ref="C158:D158"/>
  </mergeCells>
  <printOptions horizontalCentered="1"/>
  <pageMargins left="0.25" right="0.25" top="0.75" bottom="0.75" header="0.3" footer="0.3"/>
  <pageSetup paperSize="3" scale="40" fitToHeight="0" orientation="landscape" r:id="rId1"/>
  <headerFooter>
    <oddFooter>&amp;L&amp;Z&amp;F&amp;C&amp;"-,Bold"&amp;KFF0000Print Date &amp;D, &amp;T&amp;RPage &amp;P of &amp;N</oddFooter>
  </headerFooter>
  <rowBreaks count="9" manualBreakCount="9">
    <brk id="27" min="1" max="40" man="1"/>
    <brk id="38" min="1" max="40" man="1"/>
    <brk id="50" min="1" max="40" man="1"/>
    <brk id="61" min="1" max="40" man="1"/>
    <brk id="79" min="1" max="40" man="1"/>
    <brk id="98" min="1" max="40" man="1"/>
    <brk id="111" min="1" max="40" man="1"/>
    <brk id="137" min="1" max="40" man="1"/>
    <brk id="167" min="1" max="4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4105b32-b6b5-4d11-80b7-c3c443fe403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A267024337D4748BBB418824DAF373A" ma:contentTypeVersion="16" ma:contentTypeDescription="Create a new document." ma:contentTypeScope="" ma:versionID="f1a3a74a1a57aa304743fc29c748258b">
  <xsd:schema xmlns:xsd="http://www.w3.org/2001/XMLSchema" xmlns:xs="http://www.w3.org/2001/XMLSchema" xmlns:p="http://schemas.microsoft.com/office/2006/metadata/properties" xmlns:ns3="64105b32-b6b5-4d11-80b7-c3c443fe403e" xmlns:ns4="71950d95-cf39-4492-b5d7-7a2ed8c0f75e" targetNamespace="http://schemas.microsoft.com/office/2006/metadata/properties" ma:root="true" ma:fieldsID="9cc6bc78a4d159c69a7c3d9783f2ea10" ns3:_="" ns4:_="">
    <xsd:import namespace="64105b32-b6b5-4d11-80b7-c3c443fe403e"/>
    <xsd:import namespace="71950d95-cf39-4492-b5d7-7a2ed8c0f75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105b32-b6b5-4d11-80b7-c3c443fe40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950d95-cf39-4492-b5d7-7a2ed8c0f75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5BE2BC-1F83-4886-B348-BDF9376C3DE1}">
  <ds:schemaRefs>
    <ds:schemaRef ds:uri="64105b32-b6b5-4d11-80b7-c3c443fe403e"/>
    <ds:schemaRef ds:uri="http://schemas.openxmlformats.org/package/2006/metadata/core-properties"/>
    <ds:schemaRef ds:uri="http://purl.org/dc/dcmitype/"/>
    <ds:schemaRef ds:uri="http://purl.org/dc/terms/"/>
    <ds:schemaRef ds:uri="71950d95-cf39-4492-b5d7-7a2ed8c0f75e"/>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8259DCD3-3C61-4E17-8F1F-324B1667D3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105b32-b6b5-4d11-80b7-c3c443fe403e"/>
    <ds:schemaRef ds:uri="71950d95-cf39-4492-b5d7-7a2ed8c0f7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D8F656-F07E-4C8D-A64C-2364EA7251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Project Point of Contacts</vt:lpstr>
      <vt:lpstr>LCAP Develop Session 2 Summary</vt:lpstr>
      <vt:lpstr>'LCAP Develop Session 2 Summary'!Print_Area</vt:lpstr>
      <vt:lpstr>'Project Point of Contacts'!Print_Area</vt:lpstr>
      <vt:lpstr>'LCAP Develop Session 2 Summary'!Print_Titles</vt:lpstr>
      <vt:lpstr>'Project Point of Contacts'!Print_Titles</vt:lpstr>
    </vt:vector>
  </TitlesOfParts>
  <Manager/>
  <Company>Stockton Unified School District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Susanne Montoya</dc:creator>
  <cp:keywords/>
  <dc:description/>
  <cp:lastModifiedBy>Tiffany Ashworth</cp:lastModifiedBy>
  <cp:revision/>
  <cp:lastPrinted>2023-05-25T15:49:32Z</cp:lastPrinted>
  <dcterms:created xsi:type="dcterms:W3CDTF">2015-04-10T22:05:54Z</dcterms:created>
  <dcterms:modified xsi:type="dcterms:W3CDTF">2023-05-25T16:52:34Z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0x0101006A267024337D4748BBB418824DAF373A</vt:lpwstr>
  </property>
</Properties>
</file>